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1.xml" ContentType="application/vnd.openxmlformats-officedocument.drawingml.chart+xml"/>
  <Override PartName="/xl/charts/style2.xml" ContentType="application/vnd.ms-office.chartstyle+xml"/>
  <Override PartName="/xl/charts/colors2.xml" ContentType="application/vnd.ms-office.chartcolorstyle+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charts/chart24.xml" ContentType="application/vnd.openxmlformats-officedocument.drawingml.chart+xml"/>
  <Override PartName="/xl/charts/style5.xml" ContentType="application/vnd.ms-office.chartstyle+xml"/>
  <Override PartName="/xl/charts/colors5.xml" ContentType="application/vnd.ms-office.chartcolorstyle+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charts/chart27.xml" ContentType="application/vnd.openxmlformats-officedocument.drawingml.chart+xml"/>
  <Override PartName="/xl/charts/chart28.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8_{B7B4614B-0388-4BB1-8CE2-44C4C081ECDB}" xr6:coauthVersionLast="36" xr6:coauthVersionMax="36" xr10:uidLastSave="{00000000-0000-0000-0000-000000000000}"/>
  <bookViews>
    <workbookView xWindow="0" yWindow="0" windowWidth="19180" windowHeight="6910" tabRatio="739" activeTab="1" xr2:uid="{00000000-000D-0000-FFFF-FFFF00000000}"/>
  </bookViews>
  <sheets>
    <sheet name="Read me" sheetId="18" r:id="rId1"/>
    <sheet name="Paramètres et Résultats" sheetId="16" r:id="rId2"/>
    <sheet name="Plan d'actions" sheetId="23" r:id="rId3"/>
    <sheet name="Archiver plans d'actions" sheetId="26" r:id="rId4"/>
    <sheet name="Conversion unités" sheetId="19" r:id="rId5"/>
    <sheet name="Scénarios prix énergie" sheetId="17" r:id="rId6"/>
    <sheet name="Prix historique" sheetId="1" state="hidden" r:id="rId7"/>
    <sheet name="Liste" sheetId="5" state="hidden" r:id="rId8"/>
  </sheets>
  <definedNames>
    <definedName name="Actions">Liste!$S$2:$S$22</definedName>
    <definedName name="Année_de_mise_en_service">Liste!$E$3:$E$18</definedName>
    <definedName name="Année_fin_étude">Liste!$F$3:$F$18</definedName>
    <definedName name="Carburant_utilisé">Liste!$C$3:$C$7</definedName>
    <definedName name="choix">Liste!$Q$3:$Q$6</definedName>
    <definedName name="cumul_act_cee1">OFFSET('Plan d''actions'!$E$315,,,,'Paramètres et Résultats'!$G$41+1)</definedName>
    <definedName name="cumul_act_cee2">OFFSET('Plan d''actions'!$E$335,,,,'Paramètres et Résultats'!$G$41+1)</definedName>
    <definedName name="cumul_act_energie1">OFFSET('Plan d''actions'!$E$316,,,,'Paramètres et Résultats'!$G$41+1)</definedName>
    <definedName name="cumul_act_energie2">OFFSET('Plan d''actions'!$E$336,,,,'Paramètres et Résultats'!$G$41+1)</definedName>
    <definedName name="cumul_act_invest1">OFFSET('Plan d''actions'!$E$314,,,,'Paramètres et Résultats'!$G$41+1)</definedName>
    <definedName name="cumul_act_invest2">OFFSET('Plan d''actions'!$E$334,,,,'Paramètres et Résultats'!$G$41+1)</definedName>
    <definedName name="cumul_act_rec1">OFFSET('Plan d''actions'!$E$317,,,,'Paramètres et Résultats'!$G$41+1)</definedName>
    <definedName name="cumul_act_rec2">OFFSET('Plan d''actions'!$E$337,,,,'Paramètres et Résultats'!$G$41+1)</definedName>
    <definedName name="cumul_act_tot1">OFFSET('Plan d''actions'!$E$319,,,,'Paramètres et Résultats'!$G$41+1)</definedName>
    <definedName name="cumul_act_tot2">OFFSET('Plan d''actions'!$E$339,,,,'Paramètres et Résultats'!$G$41+1)</definedName>
    <definedName name="cumul_brut_CEE1">OFFSET('Plan d''actions'!$E$305,,,,'Paramètres et Résultats'!$G$41+1)</definedName>
    <definedName name="cumul_brut_cee2">OFFSET('Plan d''actions'!$E$325,,,,'Paramètres et Résultats'!$G$41+1)</definedName>
    <definedName name="cumul_brut_energie1">OFFSET('Plan d''actions'!$E$306,,,,'Paramètres et Résultats'!$G$41+1)</definedName>
    <definedName name="cumul_brut_energie2">OFFSET('Plan d''actions'!$E$326,,,,'Paramètres et Résultats'!$G$41+1)</definedName>
    <definedName name="cumul_brut_invest1">OFFSET('Plan d''actions'!$E$304,,,,'Paramètres et Résultats'!$G$41+1)</definedName>
    <definedName name="cumul_brut_invest2">OFFSET('Plan d''actions'!$E$324,,,,'Paramètres et Résultats'!$G$41+1)</definedName>
    <definedName name="cumul_brut_rec1">OFFSET('Plan d''actions'!$E$307,,,,'Paramètres et Résultats'!$G$41+1)</definedName>
    <definedName name="cumul_brut_rec2">OFFSET('Plan d''actions'!$E$327,,,,'Paramètres et Résultats'!$G$41+1)</definedName>
    <definedName name="cumul_brut_tot1">OFFSET('Plan d''actions'!$E$309,,,,'Paramètres et Résultats'!$G$41+1)</definedName>
    <definedName name="cumul_brut_tot2">OFFSET('Plan d''actions'!$E$329,,,,'Paramètres et Résultats'!$G$41+1)</definedName>
    <definedName name="Durée_de_simulation">Liste!$G$3:$G$17</definedName>
    <definedName name="Energie">Liste!$L$3:$L$8</definedName>
    <definedName name="Graph_CO2_col2">OFFSET(Graph_CO2_col1,,1)</definedName>
    <definedName name="Graph_evolution_abs_elec">OFFSET('Plan d''actions'!$E$68,,,,11+'Paramètres et Résultats'!$G$41)</definedName>
    <definedName name="Graph_evolution_abs_FD">OFFSET('Plan d''actions'!$E$71,,,,11+'Paramètres et Résultats'!$G$41)</definedName>
    <definedName name="Graph_evolution_abs_FL">OFFSET('Plan d''actions'!$E$70,,,,11+'Paramètres et Résultats'!$G$41)</definedName>
    <definedName name="Graph_evolution_abs_gaz">OFFSET('Plan d''actions'!$E$69,,,,11+'Paramètres et Résultats'!$G$41)</definedName>
    <definedName name="Graph_histo_nbannées">OFFSET('Plan d''actions'!$E$303,,,,'Paramètres et Résultats'!$G$41+1)</definedName>
    <definedName name="Graph_histo1_economies">OFFSET('Plan d''actions'!$E$303,,,,'Paramètres et Résultats'!$G$41+1)</definedName>
    <definedName name="Graph_histo1_investissement">OFFSET('Plan d''actions'!#REF!,,,,#REF!)</definedName>
    <definedName name="Graph_histo1_maintenance">OFFSET('Plan d''actions'!#REF!,,,,#REF!)</definedName>
    <definedName name="Graph_histo1_vcumulées">OFFSET('Plan d''actions'!#REF!,,,,#REF!)</definedName>
    <definedName name="Graph_radar_serie1">OFFSET('Plan d''actions'!$K$344,,,'Plan d''actions'!$C$364)</definedName>
    <definedName name="Graph_radar_serie2">OFFSET('Plan d''actions'!$J$344,,,'Plan d''actions'!$C$364)</definedName>
    <definedName name="Graph_radar_serie3">OFFSET('Plan d''actions'!$G$344,,,'Plan d''actions'!$C$364)</definedName>
    <definedName name="Marge_erreur">Liste!$A$3:$A$6</definedName>
    <definedName name="Plage_graph_histo">OFFSET('Plan d''actions'!$AR$40,,,'Plan d''actions'!#REF!+1,3)</definedName>
    <definedName name="Scénario">Liste!$J$3:$J$6</definedName>
    <definedName name="Tx_a">'Paramètres et Résultats'!$G$42</definedName>
    <definedName name="Type_Energie">'Paramètres et Résultats'!$E$27:$E$34</definedName>
    <definedName name="_xlnm.Print_Area" localSheetId="2">'Plan d''actions'!$A$1:$U$31</definedName>
  </definedNames>
  <calcPr calcId="191029"/>
</workbook>
</file>

<file path=xl/calcChain.xml><?xml version="1.0" encoding="utf-8"?>
<calcChain xmlns="http://schemas.openxmlformats.org/spreadsheetml/2006/main">
  <c r="K73" i="17" l="1"/>
  <c r="K74" i="17"/>
  <c r="K75" i="17"/>
  <c r="K76" i="17"/>
  <c r="K77" i="17"/>
  <c r="K78" i="17"/>
  <c r="K79" i="17"/>
  <c r="K80" i="17"/>
  <c r="K81" i="17"/>
  <c r="K82" i="17"/>
  <c r="K83" i="17"/>
  <c r="K84" i="17"/>
  <c r="K85" i="17"/>
  <c r="K86" i="17"/>
  <c r="K87" i="17"/>
  <c r="H53" i="1"/>
  <c r="G53" i="1"/>
  <c r="F53" i="1"/>
  <c r="E53" i="1"/>
  <c r="C89" i="17"/>
  <c r="W89" i="17" s="1"/>
  <c r="V13" i="17"/>
  <c r="U49" i="1"/>
  <c r="W178" i="17"/>
  <c r="W183" i="17" s="1"/>
  <c r="W232" i="17"/>
  <c r="X232" i="17" s="1"/>
  <c r="Y232" i="17" s="1"/>
  <c r="Z232" i="17" s="1"/>
  <c r="AA232" i="17" s="1"/>
  <c r="W189" i="17"/>
  <c r="V189" i="17" s="1"/>
  <c r="U189" i="17" s="1"/>
  <c r="T189" i="17" s="1"/>
  <c r="S189" i="17" s="1"/>
  <c r="R189" i="17" s="1"/>
  <c r="Q189" i="17" s="1"/>
  <c r="P189" i="17" s="1"/>
  <c r="O189" i="17" s="1"/>
  <c r="N189" i="17" s="1"/>
  <c r="M189" i="17" s="1"/>
  <c r="L189" i="17" s="1"/>
  <c r="K189" i="17" s="1"/>
  <c r="J189" i="17" s="1"/>
  <c r="I189" i="17" s="1"/>
  <c r="H189" i="17" s="1"/>
  <c r="G189" i="17" s="1"/>
  <c r="D150" i="17"/>
  <c r="E150" i="17" s="1"/>
  <c r="F150" i="17" s="1"/>
  <c r="G150" i="17" s="1"/>
  <c r="H150" i="17" s="1"/>
  <c r="I150" i="17" s="1"/>
  <c r="J150" i="17" s="1"/>
  <c r="K150" i="17" s="1"/>
  <c r="L150" i="17" s="1"/>
  <c r="M150" i="17" s="1"/>
  <c r="N150" i="17" s="1"/>
  <c r="O150" i="17" s="1"/>
  <c r="P150" i="17" s="1"/>
  <c r="Q150" i="17" s="1"/>
  <c r="R150" i="17" s="1"/>
  <c r="S150" i="17" s="1"/>
  <c r="T150" i="17" s="1"/>
  <c r="U150" i="17" s="1"/>
  <c r="V150" i="17" s="1"/>
  <c r="W150" i="17" s="1"/>
  <c r="F50" i="1"/>
  <c r="G50" i="1"/>
  <c r="H50" i="1"/>
  <c r="I50" i="1"/>
  <c r="E50" i="1"/>
  <c r="P62" i="23"/>
  <c r="G270" i="17"/>
  <c r="W238" i="17"/>
  <c r="E88" i="17"/>
  <c r="F88" i="17"/>
  <c r="G88" i="17"/>
  <c r="H88" i="17"/>
  <c r="I88" i="17"/>
  <c r="J88" i="17"/>
  <c r="K88" i="17"/>
  <c r="D88" i="17"/>
  <c r="V14" i="17"/>
  <c r="V12" i="17"/>
  <c r="V11" i="17"/>
  <c r="B210" i="17"/>
  <c r="U106" i="1"/>
  <c r="U40" i="1" s="1"/>
  <c r="U107" i="1"/>
  <c r="U108" i="1"/>
  <c r="U42" i="1" s="1"/>
  <c r="U109" i="1"/>
  <c r="U105" i="1"/>
  <c r="U39" i="1" s="1"/>
  <c r="U86" i="1"/>
  <c r="U30" i="1" s="1"/>
  <c r="U87" i="1"/>
  <c r="U31" i="1" s="1"/>
  <c r="U88" i="1"/>
  <c r="U89" i="1"/>
  <c r="U33" i="1" s="1"/>
  <c r="U90" i="1"/>
  <c r="U34" i="1" s="1"/>
  <c r="U85" i="1"/>
  <c r="U29" i="1" s="1"/>
  <c r="U43" i="1"/>
  <c r="U41" i="1"/>
  <c r="D139" i="17" s="1"/>
  <c r="U32" i="1"/>
  <c r="U25" i="1"/>
  <c r="G274" i="17" s="1"/>
  <c r="U23" i="1"/>
  <c r="U20" i="1"/>
  <c r="W233" i="17" s="1"/>
  <c r="U16" i="1"/>
  <c r="D141" i="17" s="1"/>
  <c r="W237" i="17" s="1"/>
  <c r="U13" i="1"/>
  <c r="U15" i="1" s="1"/>
  <c r="U10" i="1"/>
  <c r="U11" i="1" s="1"/>
  <c r="U52" i="1" s="1"/>
  <c r="T10" i="1"/>
  <c r="T11" i="1" s="1"/>
  <c r="T52" i="1" s="1"/>
  <c r="T12" i="1"/>
  <c r="T14" i="1" s="1"/>
  <c r="T54" i="1" s="1"/>
  <c r="T13" i="1"/>
  <c r="T15" i="1" s="1"/>
  <c r="T16" i="1"/>
  <c r="T53" i="1" s="1"/>
  <c r="T25" i="1"/>
  <c r="T23" i="1"/>
  <c r="T20" i="1"/>
  <c r="T49" i="1" s="1"/>
  <c r="T39" i="1"/>
  <c r="T40" i="1"/>
  <c r="T41" i="1"/>
  <c r="T51" i="1" s="1"/>
  <c r="T42" i="1"/>
  <c r="T43" i="1"/>
  <c r="T29" i="1"/>
  <c r="T30" i="1"/>
  <c r="T31" i="1"/>
  <c r="T32" i="1"/>
  <c r="T33" i="1"/>
  <c r="T34" i="1"/>
  <c r="S32" i="1"/>
  <c r="V232" i="17" l="1"/>
  <c r="U232" i="17" s="1"/>
  <c r="C90" i="17"/>
  <c r="C91" i="17" s="1"/>
  <c r="C92" i="17" s="1"/>
  <c r="C93" i="17" s="1"/>
  <c r="C94" i="17" s="1"/>
  <c r="C95" i="17" s="1"/>
  <c r="C96" i="17" s="1"/>
  <c r="C97" i="17" s="1"/>
  <c r="C98" i="17" s="1"/>
  <c r="C99" i="17" s="1"/>
  <c r="C100" i="17" s="1"/>
  <c r="C101" i="17" s="1"/>
  <c r="C102" i="17" s="1"/>
  <c r="C103" i="17" s="1"/>
  <c r="C104" i="17" s="1"/>
  <c r="C105" i="17" s="1"/>
  <c r="C106" i="17" s="1"/>
  <c r="C107" i="17" s="1"/>
  <c r="C108" i="17" s="1"/>
  <c r="V178" i="17"/>
  <c r="W180" i="17"/>
  <c r="W190" i="17" s="1"/>
  <c r="W191" i="17" s="1"/>
  <c r="W192" i="17" s="1"/>
  <c r="C88" i="17"/>
  <c r="W184" i="17"/>
  <c r="W195" i="17"/>
  <c r="W196" i="17" s="1"/>
  <c r="W197" i="17" s="1"/>
  <c r="W198" i="17" s="1"/>
  <c r="X189" i="17"/>
  <c r="Y189" i="17" s="1"/>
  <c r="Z189" i="17" s="1"/>
  <c r="AA189" i="17" s="1"/>
  <c r="AB189" i="17" s="1"/>
  <c r="AC189" i="17" s="1"/>
  <c r="AD189" i="17" s="1"/>
  <c r="AE189" i="17" s="1"/>
  <c r="AF189" i="17" s="1"/>
  <c r="AG189" i="17" s="1"/>
  <c r="AH189" i="17" s="1"/>
  <c r="AI189" i="17" s="1"/>
  <c r="AJ189" i="17" s="1"/>
  <c r="AK189" i="17" s="1"/>
  <c r="O62" i="23"/>
  <c r="O65" i="23" s="1"/>
  <c r="P65" i="23"/>
  <c r="P66" i="23"/>
  <c r="D138" i="17"/>
  <c r="AB232" i="17"/>
  <c r="AC232" i="17" s="1"/>
  <c r="AD232" i="17" s="1"/>
  <c r="AE232" i="17" s="1"/>
  <c r="AF232" i="17" s="1"/>
  <c r="AG232" i="17" s="1"/>
  <c r="AH232" i="17" s="1"/>
  <c r="AI232" i="17" s="1"/>
  <c r="AJ232" i="17" s="1"/>
  <c r="AK232" i="17" s="1"/>
  <c r="AL232" i="17" s="1"/>
  <c r="AM232" i="17" s="1"/>
  <c r="AN232" i="17" s="1"/>
  <c r="AO232" i="17" s="1"/>
  <c r="AP232" i="17" s="1"/>
  <c r="AQ232" i="17" s="1"/>
  <c r="AR232" i="17" s="1"/>
  <c r="AS232" i="17" s="1"/>
  <c r="AT232" i="17" s="1"/>
  <c r="AU232" i="17" s="1"/>
  <c r="Y243" i="17"/>
  <c r="Z243" i="17" s="1"/>
  <c r="Q62" i="23"/>
  <c r="R62" i="23" s="1"/>
  <c r="S62" i="23" s="1"/>
  <c r="T62" i="23" s="1"/>
  <c r="U62" i="23" s="1"/>
  <c r="V62" i="23" s="1"/>
  <c r="W62" i="23" s="1"/>
  <c r="X62" i="23" s="1"/>
  <c r="Y62" i="23" s="1"/>
  <c r="Z62" i="23" s="1"/>
  <c r="AA62" i="23" s="1"/>
  <c r="AB62" i="23" s="1"/>
  <c r="AC62" i="23" s="1"/>
  <c r="AD62" i="23" s="1"/>
  <c r="AE62" i="23" s="1"/>
  <c r="AF62" i="23" s="1"/>
  <c r="AG62" i="23" s="1"/>
  <c r="AH62" i="23" s="1"/>
  <c r="AI62" i="23" s="1"/>
  <c r="D140" i="17"/>
  <c r="U53" i="1"/>
  <c r="S50" i="1"/>
  <c r="U50" i="1"/>
  <c r="U51" i="1"/>
  <c r="T50" i="1"/>
  <c r="W236" i="17"/>
  <c r="T24" i="1"/>
  <c r="X238" i="17"/>
  <c r="Y238" i="17" s="1"/>
  <c r="Z238" i="17" s="1"/>
  <c r="W242" i="17"/>
  <c r="W240" i="17"/>
  <c r="U22" i="1"/>
  <c r="U21" i="1"/>
  <c r="U24" i="1"/>
  <c r="T22" i="1"/>
  <c r="T21" i="1"/>
  <c r="W200" i="17" l="1"/>
  <c r="V182" i="17"/>
  <c r="V181" i="17"/>
  <c r="C87" i="17"/>
  <c r="W88" i="17"/>
  <c r="U178" i="17"/>
  <c r="V184" i="17"/>
  <c r="V185" i="17"/>
  <c r="V180" i="17"/>
  <c r="V190" i="17" s="1"/>
  <c r="V183" i="17"/>
  <c r="P64" i="23"/>
  <c r="W182" i="17"/>
  <c r="P63" i="23"/>
  <c r="W181" i="17"/>
  <c r="N62" i="23"/>
  <c r="N63" i="23" s="1"/>
  <c r="O64" i="23"/>
  <c r="O67" i="23"/>
  <c r="O66" i="23"/>
  <c r="O63" i="23"/>
  <c r="AL238" i="17"/>
  <c r="AM238" i="17" s="1"/>
  <c r="AN238" i="17" s="1"/>
  <c r="AO238" i="17" s="1"/>
  <c r="AP238" i="17" s="1"/>
  <c r="AQ238" i="17" s="1"/>
  <c r="AR238" i="17" s="1"/>
  <c r="AS238" i="17" s="1"/>
  <c r="AT238" i="17" s="1"/>
  <c r="AL243" i="17"/>
  <c r="AM243" i="17" s="1"/>
  <c r="AN243" i="17" s="1"/>
  <c r="AO243" i="17" s="1"/>
  <c r="AP243" i="17" s="1"/>
  <c r="AB238" i="17"/>
  <c r="AC238" i="17" s="1"/>
  <c r="AD238" i="17" s="1"/>
  <c r="AE238" i="17" s="1"/>
  <c r="AF238" i="17" s="1"/>
  <c r="AG238" i="17" s="1"/>
  <c r="AH238" i="17" s="1"/>
  <c r="AI238" i="17" s="1"/>
  <c r="AJ238" i="17" s="1"/>
  <c r="AL233" i="17"/>
  <c r="AM233" i="17" s="1"/>
  <c r="AN233" i="17" s="1"/>
  <c r="AO233" i="17" s="1"/>
  <c r="AP233" i="17" s="1"/>
  <c r="AQ233" i="17" s="1"/>
  <c r="AR233" i="17" s="1"/>
  <c r="AS233" i="17" s="1"/>
  <c r="AT233" i="17" s="1"/>
  <c r="AB243" i="17"/>
  <c r="AC243" i="17" s="1"/>
  <c r="AD243" i="17" s="1"/>
  <c r="AE243" i="17" s="1"/>
  <c r="AF243" i="17" s="1"/>
  <c r="AG243" i="17" s="1"/>
  <c r="AH243" i="17" s="1"/>
  <c r="AI243" i="17" s="1"/>
  <c r="AJ243" i="17" s="1"/>
  <c r="AB233" i="17"/>
  <c r="AC233" i="17" s="1"/>
  <c r="AD233" i="17" s="1"/>
  <c r="AE233" i="17" s="1"/>
  <c r="AF233" i="17" s="1"/>
  <c r="AG233" i="17" s="1"/>
  <c r="AH233" i="17" s="1"/>
  <c r="AI233" i="17" s="1"/>
  <c r="AJ233" i="17" s="1"/>
  <c r="U61" i="1"/>
  <c r="U12" i="1" s="1"/>
  <c r="W241" i="17" s="1"/>
  <c r="U14" i="1"/>
  <c r="AF242" i="17"/>
  <c r="X242" i="17" s="1"/>
  <c r="Y242" i="17" s="1"/>
  <c r="Z242" i="17" s="1"/>
  <c r="AA242" i="17" s="1"/>
  <c r="AB242" i="17" s="1"/>
  <c r="AC242" i="17" s="1"/>
  <c r="AD242" i="17" s="1"/>
  <c r="V210" i="17" l="1"/>
  <c r="V200" i="17"/>
  <c r="V195" i="17"/>
  <c r="V205" i="17"/>
  <c r="V215" i="17"/>
  <c r="W215" i="17"/>
  <c r="W216" i="17" s="1"/>
  <c r="W217" i="17" s="1"/>
  <c r="W218" i="17" s="1"/>
  <c r="M62" i="23"/>
  <c r="T178" i="17"/>
  <c r="U181" i="17"/>
  <c r="C86" i="17"/>
  <c r="W87" i="17"/>
  <c r="W205" i="17"/>
  <c r="W206" i="17" s="1"/>
  <c r="W207" i="17" s="1"/>
  <c r="W208" i="17" s="1"/>
  <c r="D142" i="17"/>
  <c r="U54" i="1"/>
  <c r="AP242" i="17"/>
  <c r="AE242" i="17"/>
  <c r="AR51" i="23"/>
  <c r="AR52" i="23"/>
  <c r="P67" i="23" l="1"/>
  <c r="W185" i="17"/>
  <c r="W210" i="17" s="1"/>
  <c r="L62" i="23"/>
  <c r="U215" i="17"/>
  <c r="C85" i="17"/>
  <c r="W86" i="17"/>
  <c r="S178" i="17"/>
  <c r="K62" i="23"/>
  <c r="AG242" i="17"/>
  <c r="AH242" i="17" s="1"/>
  <c r="AI242" i="17" s="1"/>
  <c r="AJ242" i="17" s="1"/>
  <c r="AK242" i="17" s="1"/>
  <c r="AL242" i="17" s="1"/>
  <c r="AM242" i="17" s="1"/>
  <c r="AN242" i="17" s="1"/>
  <c r="AO242" i="17" s="1"/>
  <c r="S20" i="1"/>
  <c r="S49" i="1" s="1"/>
  <c r="U180" i="17" s="1"/>
  <c r="U190" i="17" s="1"/>
  <c r="R178" i="17" l="1"/>
  <c r="C84" i="17"/>
  <c r="W85" i="17"/>
  <c r="J62" i="23"/>
  <c r="A8" i="23"/>
  <c r="A9" i="23"/>
  <c r="A10" i="23"/>
  <c r="A11" i="23"/>
  <c r="A12" i="23"/>
  <c r="A13" i="23"/>
  <c r="A14" i="23"/>
  <c r="A15" i="23"/>
  <c r="A16" i="23"/>
  <c r="A17" i="23"/>
  <c r="A18" i="23"/>
  <c r="A19" i="23"/>
  <c r="A20" i="23"/>
  <c r="A21" i="23"/>
  <c r="A22" i="23"/>
  <c r="A23" i="23"/>
  <c r="A24" i="23"/>
  <c r="A25" i="23"/>
  <c r="A26" i="23"/>
  <c r="A7" i="23"/>
  <c r="C83" i="17" l="1"/>
  <c r="W84" i="17"/>
  <c r="Q178" i="17"/>
  <c r="I62" i="23"/>
  <c r="D66" i="16"/>
  <c r="E66" i="16" s="1"/>
  <c r="D68" i="16"/>
  <c r="E68" i="16" s="1"/>
  <c r="D65" i="16"/>
  <c r="E65" i="16" s="1"/>
  <c r="D67" i="16"/>
  <c r="E67" i="16" s="1"/>
  <c r="P178" i="17" l="1"/>
  <c r="C82" i="17"/>
  <c r="W83" i="17"/>
  <c r="H62" i="23"/>
  <c r="K66" i="16"/>
  <c r="J66" i="16"/>
  <c r="K68" i="16"/>
  <c r="K65" i="16"/>
  <c r="K67" i="16"/>
  <c r="J65" i="16"/>
  <c r="J68" i="16"/>
  <c r="J67" i="16"/>
  <c r="E63" i="16"/>
  <c r="Q32" i="1"/>
  <c r="Q50" i="1" s="1"/>
  <c r="C81" i="17" l="1"/>
  <c r="W82" i="17"/>
  <c r="O178" i="17"/>
  <c r="G62" i="23"/>
  <c r="F36" i="19"/>
  <c r="N178" i="17" l="1"/>
  <c r="C80" i="17"/>
  <c r="W81" i="17"/>
  <c r="F62" i="23"/>
  <c r="D73" i="17"/>
  <c r="E73" i="17"/>
  <c r="F73" i="17"/>
  <c r="G73" i="17"/>
  <c r="H73" i="17"/>
  <c r="I73" i="17"/>
  <c r="J73" i="17"/>
  <c r="D74" i="17"/>
  <c r="E74" i="17"/>
  <c r="F74" i="17"/>
  <c r="G74" i="17"/>
  <c r="H74" i="17"/>
  <c r="I74" i="17"/>
  <c r="J74" i="17"/>
  <c r="D75" i="17"/>
  <c r="E75" i="17"/>
  <c r="F75" i="17"/>
  <c r="G75" i="17"/>
  <c r="H75" i="17"/>
  <c r="I75" i="17"/>
  <c r="J75" i="17"/>
  <c r="D76" i="17"/>
  <c r="E76" i="17"/>
  <c r="F76" i="17"/>
  <c r="G76" i="17"/>
  <c r="H76" i="17"/>
  <c r="I76" i="17"/>
  <c r="J76" i="17"/>
  <c r="E77" i="17"/>
  <c r="F77" i="17"/>
  <c r="G77" i="17"/>
  <c r="H77" i="17"/>
  <c r="I77" i="17"/>
  <c r="J77" i="17"/>
  <c r="E78" i="17"/>
  <c r="F78" i="17"/>
  <c r="G78" i="17"/>
  <c r="H78" i="17"/>
  <c r="I78" i="17"/>
  <c r="J78" i="17"/>
  <c r="E79" i="17"/>
  <c r="F79" i="17"/>
  <c r="G79" i="17"/>
  <c r="H79" i="17"/>
  <c r="I79" i="17"/>
  <c r="J79" i="17"/>
  <c r="E80" i="17"/>
  <c r="F80" i="17"/>
  <c r="G80" i="17"/>
  <c r="H80" i="17"/>
  <c r="I80" i="17"/>
  <c r="J80" i="17"/>
  <c r="E81" i="17"/>
  <c r="F81" i="17"/>
  <c r="G81" i="17"/>
  <c r="H81" i="17"/>
  <c r="I81" i="17"/>
  <c r="J81" i="17"/>
  <c r="E82" i="17"/>
  <c r="F82" i="17"/>
  <c r="G82" i="17"/>
  <c r="H82" i="17"/>
  <c r="I82" i="17"/>
  <c r="J82" i="17"/>
  <c r="E83" i="17"/>
  <c r="F83" i="17"/>
  <c r="G83" i="17"/>
  <c r="H83" i="17"/>
  <c r="I83" i="17"/>
  <c r="J83" i="17"/>
  <c r="E84" i="17"/>
  <c r="F84" i="17"/>
  <c r="G84" i="17"/>
  <c r="H84" i="17"/>
  <c r="I84" i="17"/>
  <c r="J84" i="17"/>
  <c r="E85" i="17"/>
  <c r="F85" i="17"/>
  <c r="G85" i="17"/>
  <c r="H85" i="17"/>
  <c r="I85" i="17"/>
  <c r="J85" i="17"/>
  <c r="E86" i="17"/>
  <c r="F86" i="17"/>
  <c r="G86" i="17"/>
  <c r="H86" i="17"/>
  <c r="I86" i="17"/>
  <c r="J86" i="17"/>
  <c r="E87" i="17"/>
  <c r="F87" i="17"/>
  <c r="G87" i="17"/>
  <c r="H87" i="17"/>
  <c r="I87" i="17"/>
  <c r="J87" i="17"/>
  <c r="D77" i="17"/>
  <c r="D78" i="17"/>
  <c r="D79" i="17"/>
  <c r="D80" i="17"/>
  <c r="D81" i="17"/>
  <c r="D82" i="17"/>
  <c r="D83" i="17"/>
  <c r="D84" i="17"/>
  <c r="D85" i="17"/>
  <c r="D86" i="17"/>
  <c r="D87" i="17"/>
  <c r="G259" i="17"/>
  <c r="C79" i="17" l="1"/>
  <c r="W80" i="17"/>
  <c r="M178" i="17"/>
  <c r="E62" i="23"/>
  <c r="F18" i="5"/>
  <c r="F17" i="5"/>
  <c r="F16" i="5"/>
  <c r="F15" i="5"/>
  <c r="F14" i="5"/>
  <c r="F13" i="5"/>
  <c r="F12" i="5"/>
  <c r="F11" i="5"/>
  <c r="F10" i="5"/>
  <c r="F9" i="5"/>
  <c r="F8" i="5"/>
  <c r="F7" i="5"/>
  <c r="F6" i="5"/>
  <c r="F5" i="5"/>
  <c r="F4" i="5"/>
  <c r="F3" i="5"/>
  <c r="G56" i="19"/>
  <c r="F56" i="19"/>
  <c r="G55" i="19"/>
  <c r="F55" i="19"/>
  <c r="I52" i="19"/>
  <c r="I50" i="19" s="1"/>
  <c r="F53" i="19" s="1"/>
  <c r="F52" i="19"/>
  <c r="G50" i="19"/>
  <c r="G46" i="19"/>
  <c r="F46" i="19"/>
  <c r="G45" i="19"/>
  <c r="F45" i="19"/>
  <c r="I42" i="19"/>
  <c r="I40" i="19" s="1"/>
  <c r="F43" i="19" s="1"/>
  <c r="F42" i="19"/>
  <c r="F41" i="19"/>
  <c r="H41" i="19" s="1"/>
  <c r="G42" i="19" s="1"/>
  <c r="G36" i="19"/>
  <c r="G35" i="19"/>
  <c r="F35" i="19"/>
  <c r="H32" i="19"/>
  <c r="H31" i="19" s="1"/>
  <c r="F33" i="19" s="1"/>
  <c r="F32" i="19"/>
  <c r="G27" i="19"/>
  <c r="F27" i="19"/>
  <c r="G26" i="19"/>
  <c r="F26" i="19"/>
  <c r="H23" i="19"/>
  <c r="F23" i="19"/>
  <c r="F24" i="19" s="1"/>
  <c r="H22" i="19" s="1"/>
  <c r="B127" i="1"/>
  <c r="J44" i="1" s="1"/>
  <c r="S43" i="1"/>
  <c r="R43" i="1"/>
  <c r="Q43" i="1"/>
  <c r="P43" i="1"/>
  <c r="O43" i="1"/>
  <c r="N43" i="1"/>
  <c r="M43" i="1"/>
  <c r="K43" i="1"/>
  <c r="S42" i="1"/>
  <c r="R42" i="1"/>
  <c r="Q42" i="1"/>
  <c r="P42" i="1"/>
  <c r="O42" i="1"/>
  <c r="N42" i="1"/>
  <c r="M42" i="1"/>
  <c r="J42" i="1"/>
  <c r="S41" i="1"/>
  <c r="R41" i="1"/>
  <c r="Q41" i="1"/>
  <c r="P41" i="1"/>
  <c r="O41" i="1"/>
  <c r="N41" i="1"/>
  <c r="M41" i="1"/>
  <c r="L41" i="1"/>
  <c r="S40" i="1"/>
  <c r="R40" i="1"/>
  <c r="Q40" i="1"/>
  <c r="P40" i="1"/>
  <c r="O40" i="1"/>
  <c r="N40" i="1"/>
  <c r="M40" i="1"/>
  <c r="S39" i="1"/>
  <c r="R39" i="1"/>
  <c r="Q39" i="1"/>
  <c r="P39" i="1"/>
  <c r="O39" i="1"/>
  <c r="N39" i="1"/>
  <c r="M39" i="1"/>
  <c r="L35" i="1"/>
  <c r="K35" i="1"/>
  <c r="J35" i="1"/>
  <c r="S34" i="1"/>
  <c r="R34" i="1"/>
  <c r="Q34" i="1"/>
  <c r="P34" i="1"/>
  <c r="O34" i="1"/>
  <c r="N34" i="1"/>
  <c r="M34" i="1"/>
  <c r="L34" i="1"/>
  <c r="K34" i="1"/>
  <c r="J34" i="1"/>
  <c r="S33" i="1"/>
  <c r="R33" i="1"/>
  <c r="Q33" i="1"/>
  <c r="P33" i="1"/>
  <c r="O33" i="1"/>
  <c r="N33" i="1"/>
  <c r="M33" i="1"/>
  <c r="L33" i="1"/>
  <c r="K33" i="1"/>
  <c r="J33" i="1"/>
  <c r="I33" i="1"/>
  <c r="H33" i="1"/>
  <c r="G33" i="1"/>
  <c r="F33" i="1"/>
  <c r="E33" i="1"/>
  <c r="R32" i="1"/>
  <c r="P32" i="1"/>
  <c r="P50" i="1" s="1"/>
  <c r="O32" i="1"/>
  <c r="N32" i="1"/>
  <c r="M32" i="1"/>
  <c r="L32" i="1"/>
  <c r="L50" i="1" s="1"/>
  <c r="K32" i="1"/>
  <c r="J32" i="1"/>
  <c r="J50" i="1" s="1"/>
  <c r="S31" i="1"/>
  <c r="R31" i="1"/>
  <c r="Q31" i="1"/>
  <c r="P31" i="1"/>
  <c r="O31" i="1"/>
  <c r="N31" i="1"/>
  <c r="M31" i="1"/>
  <c r="L31" i="1"/>
  <c r="K31" i="1"/>
  <c r="J31" i="1"/>
  <c r="S30" i="1"/>
  <c r="R30" i="1"/>
  <c r="Q30" i="1"/>
  <c r="P30" i="1"/>
  <c r="O30" i="1"/>
  <c r="N30" i="1"/>
  <c r="M30" i="1"/>
  <c r="L30" i="1"/>
  <c r="K30" i="1"/>
  <c r="J30" i="1"/>
  <c r="S29" i="1"/>
  <c r="R29" i="1"/>
  <c r="Q29" i="1"/>
  <c r="P29" i="1"/>
  <c r="O29" i="1"/>
  <c r="N29" i="1"/>
  <c r="M29" i="1"/>
  <c r="L29" i="1"/>
  <c r="K29" i="1"/>
  <c r="J29" i="1"/>
  <c r="S25" i="1"/>
  <c r="S22" i="1" s="1"/>
  <c r="R25" i="1"/>
  <c r="Q25" i="1"/>
  <c r="P25" i="1"/>
  <c r="O25" i="1"/>
  <c r="N25" i="1"/>
  <c r="M25" i="1"/>
  <c r="L25" i="1"/>
  <c r="K25" i="1"/>
  <c r="J25" i="1"/>
  <c r="I25" i="1"/>
  <c r="H25" i="1"/>
  <c r="G25" i="1"/>
  <c r="F25" i="1"/>
  <c r="E25" i="1"/>
  <c r="S23" i="1"/>
  <c r="R23" i="1"/>
  <c r="Q23" i="1"/>
  <c r="P23" i="1"/>
  <c r="O23" i="1"/>
  <c r="N23" i="1"/>
  <c r="M23" i="1"/>
  <c r="L23" i="1"/>
  <c r="K23" i="1"/>
  <c r="J23" i="1"/>
  <c r="I23" i="1"/>
  <c r="H23" i="1"/>
  <c r="G23" i="1"/>
  <c r="F23" i="1"/>
  <c r="E23" i="1"/>
  <c r="R20" i="1"/>
  <c r="R49" i="1" s="1"/>
  <c r="T180" i="17" s="1"/>
  <c r="T190" i="17" s="1"/>
  <c r="Q20" i="1"/>
  <c r="Q49" i="1" s="1"/>
  <c r="S180" i="17" s="1"/>
  <c r="S190" i="17" s="1"/>
  <c r="P20" i="1"/>
  <c r="P49" i="1" s="1"/>
  <c r="R180" i="17" s="1"/>
  <c r="R190" i="17" s="1"/>
  <c r="O20" i="1"/>
  <c r="O49" i="1" s="1"/>
  <c r="Q180" i="17" s="1"/>
  <c r="Q190" i="17" s="1"/>
  <c r="N20" i="1"/>
  <c r="N49" i="1" s="1"/>
  <c r="P180" i="17" s="1"/>
  <c r="P190" i="17" s="1"/>
  <c r="M20" i="1"/>
  <c r="M49" i="1" s="1"/>
  <c r="O180" i="17" s="1"/>
  <c r="O190" i="17" s="1"/>
  <c r="L20" i="1"/>
  <c r="L49" i="1" s="1"/>
  <c r="N180" i="17" s="1"/>
  <c r="N190" i="17" s="1"/>
  <c r="K20" i="1"/>
  <c r="K49" i="1" s="1"/>
  <c r="J20" i="1"/>
  <c r="J49" i="1" s="1"/>
  <c r="I20" i="1"/>
  <c r="I49" i="1" s="1"/>
  <c r="H20" i="1"/>
  <c r="H49" i="1" s="1"/>
  <c r="G20" i="1"/>
  <c r="G49" i="1" s="1"/>
  <c r="F20" i="1"/>
  <c r="F49" i="1" s="1"/>
  <c r="E20" i="1"/>
  <c r="E49" i="1" s="1"/>
  <c r="S16" i="1"/>
  <c r="R16" i="1"/>
  <c r="Q16" i="1"/>
  <c r="P16" i="1"/>
  <c r="O16" i="1"/>
  <c r="N16" i="1"/>
  <c r="M16" i="1"/>
  <c r="L16" i="1"/>
  <c r="K16" i="1"/>
  <c r="J16" i="1"/>
  <c r="I16" i="1"/>
  <c r="S13" i="1"/>
  <c r="S15" i="1" s="1"/>
  <c r="R13" i="1"/>
  <c r="R15" i="1" s="1"/>
  <c r="Q13" i="1"/>
  <c r="Q15" i="1" s="1"/>
  <c r="P13" i="1"/>
  <c r="P15" i="1" s="1"/>
  <c r="O13" i="1"/>
  <c r="O15" i="1" s="1"/>
  <c r="N13" i="1"/>
  <c r="N15" i="1" s="1"/>
  <c r="M13" i="1"/>
  <c r="M15" i="1" s="1"/>
  <c r="L13" i="1"/>
  <c r="L15" i="1" s="1"/>
  <c r="K13" i="1"/>
  <c r="K15" i="1" s="1"/>
  <c r="J13" i="1"/>
  <c r="J15" i="1" s="1"/>
  <c r="I13" i="1"/>
  <c r="I15" i="1" s="1"/>
  <c r="H13" i="1"/>
  <c r="H15" i="1" s="1"/>
  <c r="G13" i="1"/>
  <c r="G15" i="1" s="1"/>
  <c r="F13" i="1"/>
  <c r="F15" i="1" s="1"/>
  <c r="E13" i="1"/>
  <c r="E15" i="1" s="1"/>
  <c r="S12" i="1"/>
  <c r="S14" i="1" s="1"/>
  <c r="S54" i="1" s="1"/>
  <c r="R12" i="1"/>
  <c r="R14" i="1" s="1"/>
  <c r="Q12" i="1"/>
  <c r="Q14" i="1" s="1"/>
  <c r="P12" i="1"/>
  <c r="P14" i="1" s="1"/>
  <c r="O12" i="1"/>
  <c r="O14" i="1" s="1"/>
  <c r="O54" i="1" s="1"/>
  <c r="N12" i="1"/>
  <c r="N14" i="1" s="1"/>
  <c r="M12" i="1"/>
  <c r="M14" i="1" s="1"/>
  <c r="L12" i="1"/>
  <c r="L14" i="1" s="1"/>
  <c r="K12" i="1"/>
  <c r="K14" i="1" s="1"/>
  <c r="K54" i="1" s="1"/>
  <c r="F67" i="23" s="1"/>
  <c r="J12" i="1"/>
  <c r="J14" i="1" s="1"/>
  <c r="I12" i="1"/>
  <c r="I14" i="1" s="1"/>
  <c r="H12" i="1"/>
  <c r="H14" i="1" s="1"/>
  <c r="G12" i="1"/>
  <c r="G14" i="1" s="1"/>
  <c r="F12" i="1"/>
  <c r="F14" i="1" s="1"/>
  <c r="E12" i="1"/>
  <c r="E14" i="1" s="1"/>
  <c r="S10" i="1"/>
  <c r="S11" i="1" s="1"/>
  <c r="S52" i="1" s="1"/>
  <c r="R10" i="1"/>
  <c r="R11" i="1" s="1"/>
  <c r="Q10" i="1"/>
  <c r="Q11" i="1" s="1"/>
  <c r="P10" i="1"/>
  <c r="P11" i="1" s="1"/>
  <c r="O10" i="1"/>
  <c r="O11" i="1" s="1"/>
  <c r="N10" i="1"/>
  <c r="N11" i="1" s="1"/>
  <c r="N52" i="1" s="1"/>
  <c r="M10" i="1"/>
  <c r="M11" i="1" s="1"/>
  <c r="L10" i="1"/>
  <c r="L11" i="1" s="1"/>
  <c r="K10" i="1"/>
  <c r="K11" i="1" s="1"/>
  <c r="J10" i="1"/>
  <c r="J11" i="1" s="1"/>
  <c r="J52" i="1" s="1"/>
  <c r="I10" i="1"/>
  <c r="I11" i="1" s="1"/>
  <c r="H10" i="1"/>
  <c r="H11" i="1" s="1"/>
  <c r="G10" i="1"/>
  <c r="G11" i="1" s="1"/>
  <c r="F10" i="1"/>
  <c r="F11" i="1" s="1"/>
  <c r="E10" i="1"/>
  <c r="B242" i="17"/>
  <c r="B241" i="17"/>
  <c r="B240" i="17"/>
  <c r="B239" i="17"/>
  <c r="B238" i="17"/>
  <c r="B237" i="17"/>
  <c r="B236" i="17"/>
  <c r="B235" i="17"/>
  <c r="B234" i="17"/>
  <c r="AP235" i="17"/>
  <c r="AK234" i="17"/>
  <c r="B233" i="17"/>
  <c r="C216" i="17"/>
  <c r="C217" i="17" s="1"/>
  <c r="C218" i="17" s="1"/>
  <c r="C210" i="17"/>
  <c r="C211" i="17" s="1"/>
  <c r="C212" i="17" s="1"/>
  <c r="C213" i="17" s="1"/>
  <c r="B205" i="17"/>
  <c r="B200" i="17"/>
  <c r="C200" i="17" s="1"/>
  <c r="C201" i="17" s="1"/>
  <c r="C202" i="17" s="1"/>
  <c r="C203" i="17" s="1"/>
  <c r="B195" i="17"/>
  <c r="C195" i="17" s="1"/>
  <c r="C196" i="17" s="1"/>
  <c r="C197" i="17" s="1"/>
  <c r="C198" i="17" s="1"/>
  <c r="C190" i="17"/>
  <c r="C191" i="17" s="1"/>
  <c r="C192" i="17" s="1"/>
  <c r="C193" i="17" s="1"/>
  <c r="B363" i="23"/>
  <c r="C363" i="23" s="1"/>
  <c r="B362" i="23"/>
  <c r="C362" i="23" s="1"/>
  <c r="B361" i="23"/>
  <c r="C361" i="23" s="1"/>
  <c r="B360" i="23"/>
  <c r="C360" i="23" s="1"/>
  <c r="B359" i="23"/>
  <c r="C359" i="23" s="1"/>
  <c r="B358" i="23"/>
  <c r="C358" i="23" s="1"/>
  <c r="B357" i="23"/>
  <c r="C357" i="23" s="1"/>
  <c r="B356" i="23"/>
  <c r="C356" i="23" s="1"/>
  <c r="B355" i="23"/>
  <c r="C355" i="23" s="1"/>
  <c r="B354" i="23"/>
  <c r="C354" i="23" s="1"/>
  <c r="B353" i="23"/>
  <c r="C353" i="23" s="1"/>
  <c r="B352" i="23"/>
  <c r="C352" i="23" s="1"/>
  <c r="B351" i="23"/>
  <c r="C351" i="23" s="1"/>
  <c r="B350" i="23"/>
  <c r="C350" i="23" s="1"/>
  <c r="B349" i="23"/>
  <c r="C349" i="23" s="1"/>
  <c r="B348" i="23"/>
  <c r="C348" i="23" s="1"/>
  <c r="B347" i="23"/>
  <c r="C347" i="23" s="1"/>
  <c r="B346" i="23"/>
  <c r="C346" i="23" s="1"/>
  <c r="B345" i="23"/>
  <c r="C345" i="23" s="1"/>
  <c r="B344" i="23"/>
  <c r="C344" i="23" s="1"/>
  <c r="F343" i="23"/>
  <c r="F333" i="23"/>
  <c r="G333" i="23" s="1"/>
  <c r="H333" i="23" s="1"/>
  <c r="I333" i="23" s="1"/>
  <c r="J333" i="23" s="1"/>
  <c r="K333" i="23" s="1"/>
  <c r="L333" i="23" s="1"/>
  <c r="M333" i="23" s="1"/>
  <c r="N333" i="23" s="1"/>
  <c r="O333" i="23" s="1"/>
  <c r="P333" i="23" s="1"/>
  <c r="Q333" i="23" s="1"/>
  <c r="R333" i="23" s="1"/>
  <c r="S333" i="23" s="1"/>
  <c r="T333" i="23" s="1"/>
  <c r="U333" i="23" s="1"/>
  <c r="V333" i="23" s="1"/>
  <c r="W333" i="23" s="1"/>
  <c r="X333" i="23" s="1"/>
  <c r="Y333" i="23" s="1"/>
  <c r="C333" i="23"/>
  <c r="F323" i="23"/>
  <c r="G323" i="23" s="1"/>
  <c r="H323" i="23" s="1"/>
  <c r="I323" i="23" s="1"/>
  <c r="J323" i="23" s="1"/>
  <c r="K323" i="23" s="1"/>
  <c r="L323" i="23" s="1"/>
  <c r="M323" i="23" s="1"/>
  <c r="N323" i="23" s="1"/>
  <c r="O323" i="23" s="1"/>
  <c r="P323" i="23" s="1"/>
  <c r="Q323" i="23" s="1"/>
  <c r="R323" i="23" s="1"/>
  <c r="S323" i="23" s="1"/>
  <c r="T323" i="23" s="1"/>
  <c r="U323" i="23" s="1"/>
  <c r="V323" i="23" s="1"/>
  <c r="W323" i="23" s="1"/>
  <c r="X323" i="23" s="1"/>
  <c r="Y323" i="23" s="1"/>
  <c r="C323" i="23"/>
  <c r="F313" i="23"/>
  <c r="G313" i="23" s="1"/>
  <c r="H313" i="23" s="1"/>
  <c r="I313" i="23" s="1"/>
  <c r="J313" i="23" s="1"/>
  <c r="K313" i="23" s="1"/>
  <c r="L313" i="23" s="1"/>
  <c r="M313" i="23" s="1"/>
  <c r="N313" i="23" s="1"/>
  <c r="O313" i="23" s="1"/>
  <c r="P313" i="23" s="1"/>
  <c r="Q313" i="23" s="1"/>
  <c r="R313" i="23" s="1"/>
  <c r="S313" i="23" s="1"/>
  <c r="T313" i="23" s="1"/>
  <c r="U313" i="23" s="1"/>
  <c r="V313" i="23" s="1"/>
  <c r="W313" i="23" s="1"/>
  <c r="X313" i="23" s="1"/>
  <c r="Y313" i="23" s="1"/>
  <c r="C313" i="23"/>
  <c r="F303" i="23"/>
  <c r="G303" i="23" s="1"/>
  <c r="H303" i="23" s="1"/>
  <c r="I303" i="23" s="1"/>
  <c r="J303" i="23" s="1"/>
  <c r="K303" i="23" s="1"/>
  <c r="L303" i="23" s="1"/>
  <c r="M303" i="23" s="1"/>
  <c r="N303" i="23" s="1"/>
  <c r="O303" i="23" s="1"/>
  <c r="P303" i="23" s="1"/>
  <c r="Q303" i="23" s="1"/>
  <c r="R303" i="23" s="1"/>
  <c r="S303" i="23" s="1"/>
  <c r="T303" i="23" s="1"/>
  <c r="U303" i="23" s="1"/>
  <c r="V303" i="23" s="1"/>
  <c r="W303" i="23" s="1"/>
  <c r="X303" i="23" s="1"/>
  <c r="Y303" i="23" s="1"/>
  <c r="C303" i="23"/>
  <c r="D293" i="23"/>
  <c r="D292" i="23"/>
  <c r="D291" i="23"/>
  <c r="D290" i="23"/>
  <c r="D289" i="23"/>
  <c r="D288" i="23"/>
  <c r="D287" i="23"/>
  <c r="D286" i="23"/>
  <c r="D285" i="23"/>
  <c r="D284" i="23"/>
  <c r="D283" i="23"/>
  <c r="D282" i="23"/>
  <c r="D281" i="23"/>
  <c r="D280" i="23"/>
  <c r="D279" i="23"/>
  <c r="D278" i="23"/>
  <c r="D277" i="23"/>
  <c r="D276" i="23"/>
  <c r="D275" i="23"/>
  <c r="D274" i="23"/>
  <c r="F273" i="23"/>
  <c r="G273" i="23" s="1"/>
  <c r="H273" i="23" s="1"/>
  <c r="I273" i="23" s="1"/>
  <c r="J273" i="23" s="1"/>
  <c r="K273" i="23" s="1"/>
  <c r="L273" i="23" s="1"/>
  <c r="M273" i="23" s="1"/>
  <c r="N273" i="23" s="1"/>
  <c r="O273" i="23" s="1"/>
  <c r="P273" i="23" s="1"/>
  <c r="Q273" i="23" s="1"/>
  <c r="R273" i="23" s="1"/>
  <c r="S273" i="23" s="1"/>
  <c r="T273" i="23" s="1"/>
  <c r="U273" i="23" s="1"/>
  <c r="V273" i="23" s="1"/>
  <c r="W273" i="23" s="1"/>
  <c r="X273" i="23" s="1"/>
  <c r="Y273" i="23" s="1"/>
  <c r="D264" i="23"/>
  <c r="D263" i="23"/>
  <c r="D262" i="23"/>
  <c r="D261" i="23"/>
  <c r="D260" i="23"/>
  <c r="D259" i="23"/>
  <c r="D258" i="23"/>
  <c r="D257" i="23"/>
  <c r="D256" i="23"/>
  <c r="D255" i="23"/>
  <c r="D254" i="23"/>
  <c r="D253" i="23"/>
  <c r="D252" i="23"/>
  <c r="D251" i="23"/>
  <c r="D250" i="23"/>
  <c r="D249" i="23"/>
  <c r="D248" i="23"/>
  <c r="D247" i="23"/>
  <c r="D246" i="23"/>
  <c r="D245" i="23"/>
  <c r="F244" i="23"/>
  <c r="G244" i="23" s="1"/>
  <c r="H244" i="23" s="1"/>
  <c r="I244" i="23" s="1"/>
  <c r="J244" i="23" s="1"/>
  <c r="K244" i="23" s="1"/>
  <c r="L244" i="23" s="1"/>
  <c r="M244" i="23" s="1"/>
  <c r="N244" i="23" s="1"/>
  <c r="O244" i="23" s="1"/>
  <c r="P244" i="23" s="1"/>
  <c r="Q244" i="23" s="1"/>
  <c r="R244" i="23" s="1"/>
  <c r="S244" i="23" s="1"/>
  <c r="T244" i="23" s="1"/>
  <c r="U244" i="23" s="1"/>
  <c r="V244" i="23" s="1"/>
  <c r="W244" i="23" s="1"/>
  <c r="X244" i="23" s="1"/>
  <c r="Y244" i="23" s="1"/>
  <c r="D235" i="23"/>
  <c r="D234" i="23"/>
  <c r="D233" i="23"/>
  <c r="D232" i="23"/>
  <c r="D231" i="23"/>
  <c r="D230" i="23"/>
  <c r="D229" i="23"/>
  <c r="D228" i="23"/>
  <c r="D227" i="23"/>
  <c r="D226" i="23"/>
  <c r="D225" i="23"/>
  <c r="D224" i="23"/>
  <c r="D223" i="23"/>
  <c r="D222" i="23"/>
  <c r="D221" i="23"/>
  <c r="D220" i="23"/>
  <c r="D219" i="23"/>
  <c r="D218" i="23"/>
  <c r="D217" i="23"/>
  <c r="D216" i="23"/>
  <c r="F215" i="23"/>
  <c r="G215" i="23" s="1"/>
  <c r="H215" i="23" s="1"/>
  <c r="I215" i="23" s="1"/>
  <c r="J215" i="23" s="1"/>
  <c r="K215" i="23" s="1"/>
  <c r="L215" i="23" s="1"/>
  <c r="M215" i="23" s="1"/>
  <c r="N215" i="23" s="1"/>
  <c r="O215" i="23" s="1"/>
  <c r="P215" i="23" s="1"/>
  <c r="Q215" i="23" s="1"/>
  <c r="R215" i="23" s="1"/>
  <c r="S215" i="23" s="1"/>
  <c r="T215" i="23" s="1"/>
  <c r="U215" i="23" s="1"/>
  <c r="V215" i="23" s="1"/>
  <c r="W215" i="23" s="1"/>
  <c r="X215" i="23" s="1"/>
  <c r="Y215" i="23" s="1"/>
  <c r="D206" i="23"/>
  <c r="D205" i="23"/>
  <c r="D204" i="23"/>
  <c r="D203" i="23"/>
  <c r="D202" i="23"/>
  <c r="D201" i="23"/>
  <c r="D200" i="23"/>
  <c r="D199" i="23"/>
  <c r="D198" i="23"/>
  <c r="D197" i="23"/>
  <c r="D196" i="23"/>
  <c r="D195" i="23"/>
  <c r="D194" i="23"/>
  <c r="D193" i="23"/>
  <c r="D192" i="23"/>
  <c r="D191" i="23"/>
  <c r="D190" i="23"/>
  <c r="D189" i="23"/>
  <c r="D188" i="23"/>
  <c r="D187" i="23"/>
  <c r="F186" i="23"/>
  <c r="G186" i="23" s="1"/>
  <c r="H186" i="23" s="1"/>
  <c r="I186" i="23" s="1"/>
  <c r="J186" i="23" s="1"/>
  <c r="K186" i="23" s="1"/>
  <c r="L186" i="23" s="1"/>
  <c r="M186" i="23" s="1"/>
  <c r="N186" i="23" s="1"/>
  <c r="O186" i="23" s="1"/>
  <c r="P186" i="23" s="1"/>
  <c r="Q186" i="23" s="1"/>
  <c r="R186" i="23" s="1"/>
  <c r="S186" i="23" s="1"/>
  <c r="T186" i="23" s="1"/>
  <c r="U186" i="23" s="1"/>
  <c r="V186" i="23" s="1"/>
  <c r="W186" i="23" s="1"/>
  <c r="X186" i="23" s="1"/>
  <c r="Y186" i="23" s="1"/>
  <c r="E178" i="23"/>
  <c r="Y177" i="23"/>
  <c r="X177" i="23"/>
  <c r="W177" i="23"/>
  <c r="V177" i="23"/>
  <c r="U177" i="23"/>
  <c r="T177" i="23"/>
  <c r="S177" i="23"/>
  <c r="R177" i="23"/>
  <c r="Q177" i="23"/>
  <c r="P177" i="23"/>
  <c r="O177" i="23"/>
  <c r="N177" i="23"/>
  <c r="M177" i="23"/>
  <c r="L177" i="23"/>
  <c r="K177" i="23"/>
  <c r="J177" i="23"/>
  <c r="I177" i="23"/>
  <c r="H177" i="23"/>
  <c r="G177" i="23"/>
  <c r="F177" i="23"/>
  <c r="D177" i="23"/>
  <c r="Y176" i="23"/>
  <c r="X176" i="23"/>
  <c r="W176" i="23"/>
  <c r="V176" i="23"/>
  <c r="U176" i="23"/>
  <c r="T176" i="23"/>
  <c r="S176" i="23"/>
  <c r="R176" i="23"/>
  <c r="Q176" i="23"/>
  <c r="P176" i="23"/>
  <c r="O176" i="23"/>
  <c r="N176" i="23"/>
  <c r="M176" i="23"/>
  <c r="L176" i="23"/>
  <c r="K176" i="23"/>
  <c r="J176" i="23"/>
  <c r="I176" i="23"/>
  <c r="H176" i="23"/>
  <c r="G176" i="23"/>
  <c r="F176" i="23"/>
  <c r="D176" i="23"/>
  <c r="Y175" i="23"/>
  <c r="X175" i="23"/>
  <c r="W175" i="23"/>
  <c r="V175" i="23"/>
  <c r="U175" i="23"/>
  <c r="T175" i="23"/>
  <c r="S175" i="23"/>
  <c r="R175" i="23"/>
  <c r="Q175" i="23"/>
  <c r="P175" i="23"/>
  <c r="O175" i="23"/>
  <c r="N175" i="23"/>
  <c r="M175" i="23"/>
  <c r="L175" i="23"/>
  <c r="K175" i="23"/>
  <c r="J175" i="23"/>
  <c r="I175" i="23"/>
  <c r="H175" i="23"/>
  <c r="G175" i="23"/>
  <c r="F175" i="23"/>
  <c r="D175" i="23"/>
  <c r="Y174" i="23"/>
  <c r="X174" i="23"/>
  <c r="W174" i="23"/>
  <c r="V174" i="23"/>
  <c r="U174" i="23"/>
  <c r="T174" i="23"/>
  <c r="S174" i="23"/>
  <c r="R174" i="23"/>
  <c r="Q174" i="23"/>
  <c r="P174" i="23"/>
  <c r="O174" i="23"/>
  <c r="N174" i="23"/>
  <c r="M174" i="23"/>
  <c r="L174" i="23"/>
  <c r="K174" i="23"/>
  <c r="J174" i="23"/>
  <c r="I174" i="23"/>
  <c r="H174" i="23"/>
  <c r="G174" i="23"/>
  <c r="F174" i="23"/>
  <c r="D174" i="23"/>
  <c r="Y173" i="23"/>
  <c r="X173" i="23"/>
  <c r="W173" i="23"/>
  <c r="V173" i="23"/>
  <c r="U173" i="23"/>
  <c r="T173" i="23"/>
  <c r="S173" i="23"/>
  <c r="R173" i="23"/>
  <c r="Q173" i="23"/>
  <c r="P173" i="23"/>
  <c r="O173" i="23"/>
  <c r="N173" i="23"/>
  <c r="M173" i="23"/>
  <c r="L173" i="23"/>
  <c r="K173" i="23"/>
  <c r="J173" i="23"/>
  <c r="I173" i="23"/>
  <c r="H173" i="23"/>
  <c r="G173" i="23"/>
  <c r="F173" i="23"/>
  <c r="D173" i="23"/>
  <c r="Y172" i="23"/>
  <c r="X172" i="23"/>
  <c r="W172" i="23"/>
  <c r="V172" i="23"/>
  <c r="U172" i="23"/>
  <c r="T172" i="23"/>
  <c r="S172" i="23"/>
  <c r="R172" i="23"/>
  <c r="Q172" i="23"/>
  <c r="P172" i="23"/>
  <c r="O172" i="23"/>
  <c r="N172" i="23"/>
  <c r="M172" i="23"/>
  <c r="L172" i="23"/>
  <c r="K172" i="23"/>
  <c r="J172" i="23"/>
  <c r="I172" i="23"/>
  <c r="H172" i="23"/>
  <c r="G172" i="23"/>
  <c r="F172" i="23"/>
  <c r="D172" i="23"/>
  <c r="Y171" i="23"/>
  <c r="X171" i="23"/>
  <c r="W171" i="23"/>
  <c r="V171" i="23"/>
  <c r="U171" i="23"/>
  <c r="T171" i="23"/>
  <c r="S171" i="23"/>
  <c r="R171" i="23"/>
  <c r="Q171" i="23"/>
  <c r="P171" i="23"/>
  <c r="O171" i="23"/>
  <c r="N171" i="23"/>
  <c r="M171" i="23"/>
  <c r="L171" i="23"/>
  <c r="K171" i="23"/>
  <c r="J171" i="23"/>
  <c r="I171" i="23"/>
  <c r="H171" i="23"/>
  <c r="G171" i="23"/>
  <c r="F171" i="23"/>
  <c r="D171" i="23"/>
  <c r="Y170" i="23"/>
  <c r="X170" i="23"/>
  <c r="W170" i="23"/>
  <c r="V170" i="23"/>
  <c r="U170" i="23"/>
  <c r="T170" i="23"/>
  <c r="S170" i="23"/>
  <c r="R170" i="23"/>
  <c r="Q170" i="23"/>
  <c r="P170" i="23"/>
  <c r="O170" i="23"/>
  <c r="N170" i="23"/>
  <c r="M170" i="23"/>
  <c r="L170" i="23"/>
  <c r="K170" i="23"/>
  <c r="J170" i="23"/>
  <c r="I170" i="23"/>
  <c r="H170" i="23"/>
  <c r="G170" i="23"/>
  <c r="F170" i="23"/>
  <c r="D170" i="23"/>
  <c r="Y169" i="23"/>
  <c r="X169" i="23"/>
  <c r="W169" i="23"/>
  <c r="V169" i="23"/>
  <c r="U169" i="23"/>
  <c r="T169" i="23"/>
  <c r="S169" i="23"/>
  <c r="R169" i="23"/>
  <c r="Q169" i="23"/>
  <c r="P169" i="23"/>
  <c r="O169" i="23"/>
  <c r="N169" i="23"/>
  <c r="M169" i="23"/>
  <c r="L169" i="23"/>
  <c r="K169" i="23"/>
  <c r="J169" i="23"/>
  <c r="I169" i="23"/>
  <c r="H169" i="23"/>
  <c r="G169" i="23"/>
  <c r="F169" i="23"/>
  <c r="D169" i="23"/>
  <c r="Y168" i="23"/>
  <c r="X168" i="23"/>
  <c r="W168" i="23"/>
  <c r="V168" i="23"/>
  <c r="U168" i="23"/>
  <c r="T168" i="23"/>
  <c r="S168" i="23"/>
  <c r="R168" i="23"/>
  <c r="Q168" i="23"/>
  <c r="P168" i="23"/>
  <c r="O168" i="23"/>
  <c r="N168" i="23"/>
  <c r="M168" i="23"/>
  <c r="L168" i="23"/>
  <c r="K168" i="23"/>
  <c r="J168" i="23"/>
  <c r="I168" i="23"/>
  <c r="H168" i="23"/>
  <c r="G168" i="23"/>
  <c r="F168" i="23"/>
  <c r="D168" i="23"/>
  <c r="Y167" i="23"/>
  <c r="X167" i="23"/>
  <c r="W167" i="23"/>
  <c r="V167" i="23"/>
  <c r="U167" i="23"/>
  <c r="T167" i="23"/>
  <c r="S167" i="23"/>
  <c r="R167" i="23"/>
  <c r="Q167" i="23"/>
  <c r="P167" i="23"/>
  <c r="O167" i="23"/>
  <c r="N167" i="23"/>
  <c r="M167" i="23"/>
  <c r="L167" i="23"/>
  <c r="K167" i="23"/>
  <c r="J167" i="23"/>
  <c r="I167" i="23"/>
  <c r="H167" i="23"/>
  <c r="G167" i="23"/>
  <c r="F167" i="23"/>
  <c r="D167" i="23"/>
  <c r="Y166" i="23"/>
  <c r="X166" i="23"/>
  <c r="W166" i="23"/>
  <c r="V166" i="23"/>
  <c r="U166" i="23"/>
  <c r="T166" i="23"/>
  <c r="S166" i="23"/>
  <c r="R166" i="23"/>
  <c r="Q166" i="23"/>
  <c r="P166" i="23"/>
  <c r="O166" i="23"/>
  <c r="N166" i="23"/>
  <c r="M166" i="23"/>
  <c r="L166" i="23"/>
  <c r="K166" i="23"/>
  <c r="J166" i="23"/>
  <c r="I166" i="23"/>
  <c r="H166" i="23"/>
  <c r="G166" i="23"/>
  <c r="F166" i="23"/>
  <c r="D166" i="23"/>
  <c r="Y165" i="23"/>
  <c r="X165" i="23"/>
  <c r="W165" i="23"/>
  <c r="V165" i="23"/>
  <c r="U165" i="23"/>
  <c r="T165" i="23"/>
  <c r="S165" i="23"/>
  <c r="R165" i="23"/>
  <c r="Q165" i="23"/>
  <c r="P165" i="23"/>
  <c r="O165" i="23"/>
  <c r="N165" i="23"/>
  <c r="M165" i="23"/>
  <c r="L165" i="23"/>
  <c r="K165" i="23"/>
  <c r="J165" i="23"/>
  <c r="I165" i="23"/>
  <c r="H165" i="23"/>
  <c r="G165" i="23"/>
  <c r="F165" i="23"/>
  <c r="D165" i="23"/>
  <c r="Y164" i="23"/>
  <c r="X164" i="23"/>
  <c r="W164" i="23"/>
  <c r="V164" i="23"/>
  <c r="U164" i="23"/>
  <c r="T164" i="23"/>
  <c r="S164" i="23"/>
  <c r="R164" i="23"/>
  <c r="Q164" i="23"/>
  <c r="P164" i="23"/>
  <c r="O164" i="23"/>
  <c r="N164" i="23"/>
  <c r="M164" i="23"/>
  <c r="L164" i="23"/>
  <c r="K164" i="23"/>
  <c r="J164" i="23"/>
  <c r="I164" i="23"/>
  <c r="H164" i="23"/>
  <c r="G164" i="23"/>
  <c r="F164" i="23"/>
  <c r="D164" i="23"/>
  <c r="Y163" i="23"/>
  <c r="X163" i="23"/>
  <c r="W163" i="23"/>
  <c r="V163" i="23"/>
  <c r="U163" i="23"/>
  <c r="T163" i="23"/>
  <c r="S163" i="23"/>
  <c r="R163" i="23"/>
  <c r="Q163" i="23"/>
  <c r="P163" i="23"/>
  <c r="O163" i="23"/>
  <c r="N163" i="23"/>
  <c r="M163" i="23"/>
  <c r="L163" i="23"/>
  <c r="K163" i="23"/>
  <c r="J163" i="23"/>
  <c r="I163" i="23"/>
  <c r="H163" i="23"/>
  <c r="G163" i="23"/>
  <c r="F163" i="23"/>
  <c r="D163" i="23"/>
  <c r="Y162" i="23"/>
  <c r="X162" i="23"/>
  <c r="W162" i="23"/>
  <c r="V162" i="23"/>
  <c r="U162" i="23"/>
  <c r="T162" i="23"/>
  <c r="S162" i="23"/>
  <c r="R162" i="23"/>
  <c r="Q162" i="23"/>
  <c r="P162" i="23"/>
  <c r="O162" i="23"/>
  <c r="N162" i="23"/>
  <c r="M162" i="23"/>
  <c r="L162" i="23"/>
  <c r="K162" i="23"/>
  <c r="J162" i="23"/>
  <c r="I162" i="23"/>
  <c r="H162" i="23"/>
  <c r="G162" i="23"/>
  <c r="F162" i="23"/>
  <c r="D162" i="23"/>
  <c r="Y161" i="23"/>
  <c r="X161" i="23"/>
  <c r="W161" i="23"/>
  <c r="V161" i="23"/>
  <c r="U161" i="23"/>
  <c r="T161" i="23"/>
  <c r="S161" i="23"/>
  <c r="R161" i="23"/>
  <c r="Q161" i="23"/>
  <c r="P161" i="23"/>
  <c r="O161" i="23"/>
  <c r="N161" i="23"/>
  <c r="M161" i="23"/>
  <c r="L161" i="23"/>
  <c r="K161" i="23"/>
  <c r="J161" i="23"/>
  <c r="I161" i="23"/>
  <c r="H161" i="23"/>
  <c r="G161" i="23"/>
  <c r="F161" i="23"/>
  <c r="D161" i="23"/>
  <c r="Y160" i="23"/>
  <c r="X160" i="23"/>
  <c r="W160" i="23"/>
  <c r="V160" i="23"/>
  <c r="U160" i="23"/>
  <c r="T160" i="23"/>
  <c r="S160" i="23"/>
  <c r="R160" i="23"/>
  <c r="Q160" i="23"/>
  <c r="P160" i="23"/>
  <c r="O160" i="23"/>
  <c r="N160" i="23"/>
  <c r="M160" i="23"/>
  <c r="L160" i="23"/>
  <c r="K160" i="23"/>
  <c r="J160" i="23"/>
  <c r="I160" i="23"/>
  <c r="H160" i="23"/>
  <c r="G160" i="23"/>
  <c r="F160" i="23"/>
  <c r="D160" i="23"/>
  <c r="Y159" i="23"/>
  <c r="X159" i="23"/>
  <c r="W159" i="23"/>
  <c r="V159" i="23"/>
  <c r="U159" i="23"/>
  <c r="T159" i="23"/>
  <c r="S159" i="23"/>
  <c r="R159" i="23"/>
  <c r="Q159" i="23"/>
  <c r="P159" i="23"/>
  <c r="O159" i="23"/>
  <c r="N159" i="23"/>
  <c r="M159" i="23"/>
  <c r="L159" i="23"/>
  <c r="K159" i="23"/>
  <c r="J159" i="23"/>
  <c r="I159" i="23"/>
  <c r="H159" i="23"/>
  <c r="G159" i="23"/>
  <c r="F159" i="23"/>
  <c r="D159" i="23"/>
  <c r="Y158" i="23"/>
  <c r="X158" i="23"/>
  <c r="W158" i="23"/>
  <c r="V158" i="23"/>
  <c r="U158" i="23"/>
  <c r="T158" i="23"/>
  <c r="S158" i="23"/>
  <c r="R158" i="23"/>
  <c r="Q158" i="23"/>
  <c r="P158" i="23"/>
  <c r="O158" i="23"/>
  <c r="N158" i="23"/>
  <c r="M158" i="23"/>
  <c r="L158" i="23"/>
  <c r="K158" i="23"/>
  <c r="J158" i="23"/>
  <c r="I158" i="23"/>
  <c r="H158" i="23"/>
  <c r="G158" i="23"/>
  <c r="F158" i="23"/>
  <c r="D158" i="23"/>
  <c r="F157" i="23"/>
  <c r="G157" i="23" s="1"/>
  <c r="H157" i="23" s="1"/>
  <c r="I157" i="23" s="1"/>
  <c r="J157" i="23" s="1"/>
  <c r="K157" i="23" s="1"/>
  <c r="L157" i="23" s="1"/>
  <c r="M157" i="23" s="1"/>
  <c r="N157" i="23" s="1"/>
  <c r="O157" i="23" s="1"/>
  <c r="P157" i="23" s="1"/>
  <c r="Q157" i="23" s="1"/>
  <c r="R157" i="23" s="1"/>
  <c r="S157" i="23" s="1"/>
  <c r="T157" i="23" s="1"/>
  <c r="U157" i="23" s="1"/>
  <c r="V157" i="23" s="1"/>
  <c r="W157" i="23" s="1"/>
  <c r="X157" i="23" s="1"/>
  <c r="Y157" i="23" s="1"/>
  <c r="E149" i="23"/>
  <c r="D148" i="23"/>
  <c r="D147" i="23"/>
  <c r="D146" i="23"/>
  <c r="D145" i="23"/>
  <c r="D144" i="23"/>
  <c r="D143" i="23"/>
  <c r="D142" i="23"/>
  <c r="D141" i="23"/>
  <c r="D140" i="23"/>
  <c r="D139" i="23"/>
  <c r="D138" i="23"/>
  <c r="D137" i="23"/>
  <c r="D136" i="23"/>
  <c r="D135" i="23"/>
  <c r="D134" i="23"/>
  <c r="D133" i="23"/>
  <c r="D132" i="23"/>
  <c r="D131" i="23"/>
  <c r="D130" i="23"/>
  <c r="D129" i="23"/>
  <c r="F128" i="23"/>
  <c r="G128" i="23" s="1"/>
  <c r="H128" i="23" s="1"/>
  <c r="I128" i="23" s="1"/>
  <c r="J128" i="23" s="1"/>
  <c r="K128" i="23" s="1"/>
  <c r="L128" i="23" s="1"/>
  <c r="M128" i="23" s="1"/>
  <c r="N128" i="23" s="1"/>
  <c r="O128" i="23" s="1"/>
  <c r="P128" i="23" s="1"/>
  <c r="Q128" i="23" s="1"/>
  <c r="R128" i="23" s="1"/>
  <c r="S128" i="23" s="1"/>
  <c r="T128" i="23" s="1"/>
  <c r="U128" i="23" s="1"/>
  <c r="V128" i="23" s="1"/>
  <c r="W128" i="23" s="1"/>
  <c r="X128" i="23" s="1"/>
  <c r="Y128" i="23" s="1"/>
  <c r="J119" i="23"/>
  <c r="H119" i="23"/>
  <c r="E119" i="23"/>
  <c r="D119" i="23"/>
  <c r="J118" i="23"/>
  <c r="H118" i="23"/>
  <c r="E118" i="23"/>
  <c r="D118" i="23"/>
  <c r="J117" i="23"/>
  <c r="H117" i="23"/>
  <c r="E117" i="23"/>
  <c r="D117" i="23"/>
  <c r="J116" i="23"/>
  <c r="H116" i="23"/>
  <c r="F116" i="23"/>
  <c r="E116" i="23"/>
  <c r="D116" i="23"/>
  <c r="J115" i="23"/>
  <c r="H115" i="23"/>
  <c r="F115" i="23"/>
  <c r="E115" i="23"/>
  <c r="D115" i="23"/>
  <c r="J114" i="23"/>
  <c r="H114" i="23"/>
  <c r="F114" i="23"/>
  <c r="E114" i="23"/>
  <c r="D114" i="23"/>
  <c r="J113" i="23"/>
  <c r="H113" i="23"/>
  <c r="E113" i="23"/>
  <c r="E200" i="23" s="1"/>
  <c r="E229" i="23" s="1"/>
  <c r="D113" i="23"/>
  <c r="J112" i="23"/>
  <c r="H112" i="23"/>
  <c r="E112" i="23"/>
  <c r="D112" i="23"/>
  <c r="J111" i="23"/>
  <c r="H111" i="23"/>
  <c r="E111" i="23"/>
  <c r="D111" i="23"/>
  <c r="J110" i="23"/>
  <c r="H110" i="23"/>
  <c r="E110" i="23"/>
  <c r="D110" i="23"/>
  <c r="J109" i="23"/>
  <c r="H109" i="23"/>
  <c r="E109" i="23"/>
  <c r="D109" i="23"/>
  <c r="J108" i="23"/>
  <c r="H108" i="23"/>
  <c r="E108" i="23"/>
  <c r="D108" i="23"/>
  <c r="J107" i="23"/>
  <c r="H107" i="23"/>
  <c r="E107" i="23"/>
  <c r="D107" i="23"/>
  <c r="J106" i="23"/>
  <c r="H106" i="23"/>
  <c r="E106" i="23"/>
  <c r="D106" i="23"/>
  <c r="J105" i="23"/>
  <c r="H105" i="23"/>
  <c r="E105" i="23"/>
  <c r="E192" i="23" s="1"/>
  <c r="E221" i="23" s="1"/>
  <c r="D105" i="23"/>
  <c r="J104" i="23"/>
  <c r="H104" i="23"/>
  <c r="E104" i="23"/>
  <c r="D104" i="23"/>
  <c r="J103" i="23"/>
  <c r="H103" i="23"/>
  <c r="E103" i="23"/>
  <c r="E190" i="23" s="1"/>
  <c r="E219" i="23" s="1"/>
  <c r="D103" i="23"/>
  <c r="J102" i="23"/>
  <c r="H102" i="23"/>
  <c r="E102" i="23"/>
  <c r="D102" i="23"/>
  <c r="J101" i="23"/>
  <c r="H101" i="23"/>
  <c r="E101" i="23"/>
  <c r="D101" i="23"/>
  <c r="J100" i="23"/>
  <c r="H100" i="23"/>
  <c r="E100" i="23"/>
  <c r="D100" i="23"/>
  <c r="F94" i="23"/>
  <c r="F95" i="23" s="1"/>
  <c r="D86" i="23"/>
  <c r="D85" i="23"/>
  <c r="D84" i="23"/>
  <c r="D83" i="23"/>
  <c r="D82" i="23"/>
  <c r="D81" i="23"/>
  <c r="D80" i="23"/>
  <c r="D79" i="23"/>
  <c r="D75" i="23"/>
  <c r="D74" i="23"/>
  <c r="D73" i="23"/>
  <c r="D72" i="23"/>
  <c r="D71" i="23"/>
  <c r="D70" i="23"/>
  <c r="D69" i="23"/>
  <c r="D68" i="23"/>
  <c r="AR49" i="23"/>
  <c r="AR48" i="23"/>
  <c r="AR47" i="23"/>
  <c r="AR46" i="23"/>
  <c r="AR45" i="23"/>
  <c r="AR44" i="23"/>
  <c r="AR43" i="23"/>
  <c r="AQ39" i="23"/>
  <c r="K6" i="23"/>
  <c r="J6" i="23"/>
  <c r="K64" i="16" s="1"/>
  <c r="I6" i="23"/>
  <c r="J64" i="16" s="1"/>
  <c r="Y27" i="23"/>
  <c r="AQ26" i="23"/>
  <c r="AP26" i="23"/>
  <c r="AJ26" i="23"/>
  <c r="AI26" i="23"/>
  <c r="I119" i="23" s="1"/>
  <c r="AC26" i="23"/>
  <c r="AB26" i="23"/>
  <c r="Y26" i="23"/>
  <c r="U26" i="23"/>
  <c r="I363" i="23" s="1"/>
  <c r="J363" i="23" s="1"/>
  <c r="T26" i="23"/>
  <c r="R26" i="23"/>
  <c r="Q26" i="23"/>
  <c r="K363" i="23" s="1"/>
  <c r="P26" i="23"/>
  <c r="S26" i="23" s="1"/>
  <c r="O26" i="23"/>
  <c r="L363" i="23" s="1"/>
  <c r="N26" i="23"/>
  <c r="X26" i="23" s="1"/>
  <c r="M26" i="23"/>
  <c r="L26" i="23"/>
  <c r="F119" i="23" s="1"/>
  <c r="AQ25" i="23"/>
  <c r="AP25" i="23"/>
  <c r="AJ25" i="23"/>
  <c r="AI25" i="23"/>
  <c r="I118" i="23" s="1"/>
  <c r="AC25" i="23"/>
  <c r="AB25" i="23"/>
  <c r="Y25" i="23"/>
  <c r="O25" i="23"/>
  <c r="L362" i="23" s="1"/>
  <c r="N25" i="23"/>
  <c r="X25" i="23" s="1"/>
  <c r="P25" i="23" s="1"/>
  <c r="S25" i="23" s="1"/>
  <c r="M25" i="23"/>
  <c r="L25" i="23"/>
  <c r="F118" i="23" s="1"/>
  <c r="AQ24" i="23"/>
  <c r="AP24" i="23"/>
  <c r="AJ24" i="23"/>
  <c r="AI24" i="23"/>
  <c r="I117" i="23" s="1"/>
  <c r="AC24" i="23"/>
  <c r="AB24" i="23"/>
  <c r="Y24" i="23"/>
  <c r="P24" i="23"/>
  <c r="S24" i="23" s="1"/>
  <c r="O24" i="23"/>
  <c r="L361" i="23" s="1"/>
  <c r="N24" i="23"/>
  <c r="X24" i="23" s="1"/>
  <c r="M24" i="23"/>
  <c r="L24" i="23"/>
  <c r="F117" i="23" s="1"/>
  <c r="AQ23" i="23"/>
  <c r="AP23" i="23"/>
  <c r="AJ23" i="23"/>
  <c r="K116" i="23" s="1"/>
  <c r="AC23" i="23"/>
  <c r="AB23" i="23"/>
  <c r="Y23" i="23"/>
  <c r="M23" i="23"/>
  <c r="AQ22" i="23"/>
  <c r="AP22" i="23"/>
  <c r="AJ22" i="23"/>
  <c r="K115" i="23" s="1"/>
  <c r="AC22" i="23"/>
  <c r="AB22" i="23"/>
  <c r="Y22" i="23"/>
  <c r="M22" i="23"/>
  <c r="AQ21" i="23"/>
  <c r="AP21" i="23"/>
  <c r="AJ21" i="23"/>
  <c r="K114" i="23" s="1"/>
  <c r="AC21" i="23"/>
  <c r="AB21" i="23"/>
  <c r="Y21" i="23"/>
  <c r="M21" i="23"/>
  <c r="AQ20" i="23"/>
  <c r="AP20" i="23"/>
  <c r="AJ20" i="23"/>
  <c r="AC20" i="23"/>
  <c r="AB20" i="23"/>
  <c r="Y20" i="23"/>
  <c r="M20" i="23"/>
  <c r="L20" i="23"/>
  <c r="F113" i="23" s="1"/>
  <c r="AQ19" i="23"/>
  <c r="AP19" i="23"/>
  <c r="AJ19" i="23"/>
  <c r="K112" i="23" s="1"/>
  <c r="AC19" i="23"/>
  <c r="AB19" i="23"/>
  <c r="Y19" i="23"/>
  <c r="M19" i="23"/>
  <c r="G68" i="16" s="1"/>
  <c r="L19" i="23"/>
  <c r="AQ18" i="23"/>
  <c r="AP18" i="23"/>
  <c r="AC18" i="23"/>
  <c r="AB18" i="23"/>
  <c r="Y18" i="23"/>
  <c r="M18" i="23"/>
  <c r="L18" i="23"/>
  <c r="F111" i="23" s="1"/>
  <c r="AQ17" i="23"/>
  <c r="AP17" i="23"/>
  <c r="AJ17" i="23"/>
  <c r="K110" i="23" s="1"/>
  <c r="AC17" i="23"/>
  <c r="AB17" i="23"/>
  <c r="Y17" i="23"/>
  <c r="M17" i="23"/>
  <c r="L17" i="23"/>
  <c r="F110" i="23" s="1"/>
  <c r="AQ16" i="23"/>
  <c r="AP16" i="23"/>
  <c r="AJ16" i="23"/>
  <c r="K109" i="23" s="1"/>
  <c r="AC16" i="23"/>
  <c r="AB16" i="23"/>
  <c r="Y16" i="23"/>
  <c r="AS52" i="23" s="1"/>
  <c r="M16" i="23"/>
  <c r="L16" i="23"/>
  <c r="F109" i="23" s="1"/>
  <c r="AQ15" i="23"/>
  <c r="AP15" i="23"/>
  <c r="AJ15" i="23"/>
  <c r="K108" i="23" s="1"/>
  <c r="AC15" i="23"/>
  <c r="AB15" i="23"/>
  <c r="Y15" i="23"/>
  <c r="AS51" i="23" s="1"/>
  <c r="M15" i="23"/>
  <c r="L15" i="23"/>
  <c r="F108" i="23" s="1"/>
  <c r="AQ14" i="23"/>
  <c r="AP14" i="23"/>
  <c r="AJ14" i="23"/>
  <c r="K107" i="23" s="1"/>
  <c r="AC14" i="23"/>
  <c r="AB14" i="23"/>
  <c r="Y14" i="23"/>
  <c r="AS50" i="23" s="1"/>
  <c r="M14" i="23"/>
  <c r="L14" i="23"/>
  <c r="F107" i="23" s="1"/>
  <c r="AQ13" i="23"/>
  <c r="AP13" i="23"/>
  <c r="AJ13" i="23"/>
  <c r="K106" i="23" s="1"/>
  <c r="AC13" i="23"/>
  <c r="AB13" i="23"/>
  <c r="Y13" i="23"/>
  <c r="AS49" i="23" s="1"/>
  <c r="M13" i="23"/>
  <c r="L13" i="23"/>
  <c r="F106" i="23" s="1"/>
  <c r="AQ12" i="23"/>
  <c r="AP12" i="23"/>
  <c r="AJ12" i="23"/>
  <c r="K105" i="23" s="1"/>
  <c r="AC12" i="23"/>
  <c r="AB12" i="23"/>
  <c r="Y12" i="23"/>
  <c r="AS48" i="23" s="1"/>
  <c r="M12" i="23"/>
  <c r="G66" i="16" s="1"/>
  <c r="L12" i="23"/>
  <c r="AQ11" i="23"/>
  <c r="AP11" i="23"/>
  <c r="AC11" i="23"/>
  <c r="AB11" i="23"/>
  <c r="Y11" i="23"/>
  <c r="M11" i="23"/>
  <c r="L11" i="23"/>
  <c r="AQ10" i="23"/>
  <c r="AP10" i="23"/>
  <c r="AJ10" i="23"/>
  <c r="K103" i="23" s="1"/>
  <c r="AC10" i="23"/>
  <c r="AB10" i="23"/>
  <c r="Y10" i="23"/>
  <c r="AS46" i="23" s="1"/>
  <c r="M10" i="23"/>
  <c r="L10" i="23"/>
  <c r="F103" i="23" s="1"/>
  <c r="AQ9" i="23"/>
  <c r="AP9" i="23"/>
  <c r="AC9" i="23"/>
  <c r="AB9" i="23"/>
  <c r="Y9" i="23"/>
  <c r="AS45" i="23" s="1"/>
  <c r="M9" i="23"/>
  <c r="L9" i="23"/>
  <c r="F102" i="23" s="1"/>
  <c r="AQ8" i="23"/>
  <c r="AP8" i="23"/>
  <c r="AC8" i="23"/>
  <c r="AB8" i="23"/>
  <c r="Y8" i="23"/>
  <c r="AS44" i="23" s="1"/>
  <c r="M8" i="23"/>
  <c r="L8" i="23"/>
  <c r="AQ7" i="23"/>
  <c r="AP7" i="23"/>
  <c r="AC7" i="23"/>
  <c r="AB7" i="23"/>
  <c r="Y7" i="23"/>
  <c r="AS43" i="23" s="1"/>
  <c r="M7" i="23"/>
  <c r="L7" i="23"/>
  <c r="U4" i="23"/>
  <c r="T4" i="23"/>
  <c r="R4" i="23"/>
  <c r="Q4" i="23"/>
  <c r="W204" i="16"/>
  <c r="W226" i="16"/>
  <c r="W177" i="16" s="1"/>
  <c r="W224" i="16"/>
  <c r="W176" i="16"/>
  <c r="W156" i="16"/>
  <c r="R62" i="16"/>
  <c r="Q62" i="16"/>
  <c r="O62" i="16"/>
  <c r="N62" i="16"/>
  <c r="I41" i="16"/>
  <c r="G35" i="16"/>
  <c r="AX34" i="16"/>
  <c r="AL34" i="16"/>
  <c r="AK34" i="16"/>
  <c r="AZ34" i="16" s="1"/>
  <c r="AI34" i="16"/>
  <c r="AF34" i="16"/>
  <c r="K34" i="16"/>
  <c r="AX33" i="16"/>
  <c r="AL33" i="16"/>
  <c r="BA33" i="16" s="1"/>
  <c r="AK33" i="16"/>
  <c r="AZ33" i="16" s="1"/>
  <c r="AI33" i="16"/>
  <c r="K33" i="16"/>
  <c r="AX32" i="16"/>
  <c r="AL32" i="16"/>
  <c r="BA32" i="16" s="1"/>
  <c r="AK32" i="16"/>
  <c r="AZ32" i="16" s="1"/>
  <c r="AI32" i="16"/>
  <c r="K32" i="16"/>
  <c r="J32" i="16"/>
  <c r="AF32" i="16" s="1"/>
  <c r="I89" i="17" s="1"/>
  <c r="AX31" i="16"/>
  <c r="AL31" i="16"/>
  <c r="BA31" i="16" s="1"/>
  <c r="AK31" i="16"/>
  <c r="AZ31" i="16" s="1"/>
  <c r="AI31" i="16"/>
  <c r="K31" i="16"/>
  <c r="AX30" i="16"/>
  <c r="AL30" i="16"/>
  <c r="BA30" i="16" s="1"/>
  <c r="AK30" i="16"/>
  <c r="AZ30" i="16" s="1"/>
  <c r="BC30" i="16" s="1"/>
  <c r="AI30" i="16"/>
  <c r="K30" i="16"/>
  <c r="AX29" i="16"/>
  <c r="AL29" i="16"/>
  <c r="BA29" i="16" s="1"/>
  <c r="AK29" i="16"/>
  <c r="AZ29" i="16" s="1"/>
  <c r="AI29" i="16"/>
  <c r="K29" i="16"/>
  <c r="AX28" i="16"/>
  <c r="AL28" i="16"/>
  <c r="BA28" i="16" s="1"/>
  <c r="AK28" i="16"/>
  <c r="AZ28" i="16" s="1"/>
  <c r="AI28" i="16"/>
  <c r="AX27" i="16"/>
  <c r="AL27" i="16"/>
  <c r="BA27" i="16" s="1"/>
  <c r="AK27" i="16"/>
  <c r="AZ27" i="16" s="1"/>
  <c r="AI27" i="16"/>
  <c r="N67" i="23" l="1"/>
  <c r="U185" i="17"/>
  <c r="U210" i="17" s="1"/>
  <c r="D173" i="17"/>
  <c r="E173" i="17" s="1"/>
  <c r="F173" i="17" s="1"/>
  <c r="G173" i="17" s="1"/>
  <c r="H173" i="17" s="1"/>
  <c r="I173" i="17" s="1"/>
  <c r="J173" i="17" s="1"/>
  <c r="K173" i="17" s="1"/>
  <c r="L173" i="17" s="1"/>
  <c r="M173" i="17" s="1"/>
  <c r="N173" i="17" s="1"/>
  <c r="O173" i="17" s="1"/>
  <c r="P173" i="17" s="1"/>
  <c r="Q173" i="17" s="1"/>
  <c r="R173" i="17" s="1"/>
  <c r="S173" i="17" s="1"/>
  <c r="T173" i="17" s="1"/>
  <c r="U173" i="17" s="1"/>
  <c r="V173" i="17" s="1"/>
  <c r="W173" i="17" s="1"/>
  <c r="K89" i="17"/>
  <c r="N65" i="23"/>
  <c r="U183" i="17"/>
  <c r="U195" i="17" s="1"/>
  <c r="I65" i="23"/>
  <c r="P183" i="17"/>
  <c r="P195" i="17" s="1"/>
  <c r="J67" i="23"/>
  <c r="Q185" i="17"/>
  <c r="Q210" i="17" s="1"/>
  <c r="L178" i="17"/>
  <c r="M185" i="17"/>
  <c r="M180" i="17"/>
  <c r="M190" i="17" s="1"/>
  <c r="C78" i="17"/>
  <c r="W79" i="17"/>
  <c r="K63" i="23"/>
  <c r="R181" i="17"/>
  <c r="E67" i="23"/>
  <c r="E65" i="23"/>
  <c r="I52" i="1"/>
  <c r="F54" i="1"/>
  <c r="N54" i="1"/>
  <c r="P53" i="1"/>
  <c r="F52" i="1"/>
  <c r="R52" i="1"/>
  <c r="G54" i="1"/>
  <c r="I53" i="1"/>
  <c r="M53" i="1"/>
  <c r="Q53" i="1"/>
  <c r="Q52" i="1"/>
  <c r="R54" i="1"/>
  <c r="L53" i="1"/>
  <c r="G52" i="1"/>
  <c r="K52" i="1"/>
  <c r="F65" i="23" s="1"/>
  <c r="O52" i="1"/>
  <c r="H54" i="1"/>
  <c r="L54" i="1"/>
  <c r="P54" i="1"/>
  <c r="J53" i="1"/>
  <c r="E66" i="23" s="1"/>
  <c r="N53" i="1"/>
  <c r="R53" i="1"/>
  <c r="M52" i="1"/>
  <c r="J54" i="1"/>
  <c r="H52" i="1"/>
  <c r="L52" i="1"/>
  <c r="P52" i="1"/>
  <c r="E54" i="1"/>
  <c r="I54" i="1"/>
  <c r="M54" i="1"/>
  <c r="Q54" i="1"/>
  <c r="K53" i="1"/>
  <c r="F66" i="23" s="1"/>
  <c r="O53" i="1"/>
  <c r="S53" i="1"/>
  <c r="R51" i="1"/>
  <c r="M50" i="1"/>
  <c r="N181" i="17" s="1"/>
  <c r="S51" i="1"/>
  <c r="N50" i="1"/>
  <c r="R50" i="1"/>
  <c r="L51" i="1"/>
  <c r="P51" i="1"/>
  <c r="N51" i="1"/>
  <c r="O51" i="1"/>
  <c r="K50" i="1"/>
  <c r="O50" i="1"/>
  <c r="M51" i="1"/>
  <c r="Q51" i="1"/>
  <c r="E11" i="1"/>
  <c r="AK236" i="17"/>
  <c r="AK241" i="17"/>
  <c r="W211" i="17"/>
  <c r="W201" i="17"/>
  <c r="K39" i="1"/>
  <c r="K40" i="1"/>
  <c r="G41" i="1"/>
  <c r="F21" i="1"/>
  <c r="J21" i="1"/>
  <c r="N21" i="1"/>
  <c r="J41" i="1"/>
  <c r="L21" i="1"/>
  <c r="F24" i="1"/>
  <c r="J24" i="1"/>
  <c r="N24" i="1"/>
  <c r="R24" i="1"/>
  <c r="J39" i="1"/>
  <c r="L40" i="1"/>
  <c r="F41" i="1"/>
  <c r="K41" i="1"/>
  <c r="L43" i="1"/>
  <c r="K44" i="1"/>
  <c r="L39" i="1"/>
  <c r="J40" i="1"/>
  <c r="H41" i="1"/>
  <c r="L42" i="1"/>
  <c r="J43" i="1"/>
  <c r="L24" i="1"/>
  <c r="R21" i="1"/>
  <c r="I22" i="1"/>
  <c r="Q21" i="1"/>
  <c r="I21" i="1"/>
  <c r="G24" i="1"/>
  <c r="K24" i="1"/>
  <c r="O24" i="1"/>
  <c r="E41" i="1"/>
  <c r="I41" i="1"/>
  <c r="K42" i="1"/>
  <c r="L44" i="1"/>
  <c r="Q22" i="1"/>
  <c r="H24" i="1"/>
  <c r="E24" i="1"/>
  <c r="I24" i="1"/>
  <c r="M24" i="1"/>
  <c r="Q24" i="1"/>
  <c r="P24" i="1"/>
  <c r="S24" i="1"/>
  <c r="S21" i="1"/>
  <c r="G52" i="19"/>
  <c r="H51" i="19" s="1"/>
  <c r="I51" i="19" s="1"/>
  <c r="G53" i="19" s="1"/>
  <c r="O14" i="19"/>
  <c r="O11" i="19"/>
  <c r="O13" i="19"/>
  <c r="G12" i="19"/>
  <c r="G14" i="19"/>
  <c r="X77" i="16"/>
  <c r="G65" i="16"/>
  <c r="G67" i="16"/>
  <c r="L65" i="16"/>
  <c r="F105" i="23"/>
  <c r="E250" i="23" s="1"/>
  <c r="L66" i="16"/>
  <c r="F101" i="23"/>
  <c r="E246" i="23" s="1"/>
  <c r="L67" i="16"/>
  <c r="Y140" i="16" s="1"/>
  <c r="F112" i="23"/>
  <c r="E257" i="23" s="1"/>
  <c r="L68" i="16"/>
  <c r="F104" i="23"/>
  <c r="E249" i="23" s="1"/>
  <c r="AR7" i="23"/>
  <c r="O7" i="23" s="1"/>
  <c r="L344" i="23" s="1"/>
  <c r="G94" i="23"/>
  <c r="H94" i="23" s="1"/>
  <c r="I94" i="23" s="1"/>
  <c r="AR34" i="16"/>
  <c r="G13" i="19"/>
  <c r="G21" i="1"/>
  <c r="G22" i="1"/>
  <c r="K21" i="1"/>
  <c r="K22" i="1"/>
  <c r="O21" i="1"/>
  <c r="O22" i="1"/>
  <c r="E21" i="1"/>
  <c r="M21" i="1"/>
  <c r="E22" i="1"/>
  <c r="M22" i="1"/>
  <c r="AJ11" i="23"/>
  <c r="K104" i="23" s="1"/>
  <c r="H22" i="1"/>
  <c r="L22" i="1"/>
  <c r="P22" i="1"/>
  <c r="H21" i="1"/>
  <c r="P21" i="1"/>
  <c r="F22" i="1"/>
  <c r="N22" i="1"/>
  <c r="AF235" i="17"/>
  <c r="AF191" i="17"/>
  <c r="G11" i="19"/>
  <c r="J22" i="1"/>
  <c r="R22" i="1"/>
  <c r="O12" i="19"/>
  <c r="I41" i="19"/>
  <c r="G43" i="19" s="1"/>
  <c r="AS7" i="23"/>
  <c r="AS9" i="23"/>
  <c r="AE19" i="23"/>
  <c r="AS17" i="23"/>
  <c r="AS18" i="23"/>
  <c r="AR24" i="23"/>
  <c r="AT24" i="23" s="1"/>
  <c r="AR16" i="23"/>
  <c r="O16" i="23" s="1"/>
  <c r="L353" i="23" s="1"/>
  <c r="AE18" i="23"/>
  <c r="G180" i="23"/>
  <c r="AR20" i="23"/>
  <c r="O20" i="23" s="1"/>
  <c r="L357" i="23" s="1"/>
  <c r="AS22" i="23"/>
  <c r="AD24" i="23"/>
  <c r="AF24" i="23" s="1"/>
  <c r="AE12" i="23"/>
  <c r="AE17" i="23"/>
  <c r="AR18" i="23"/>
  <c r="O18" i="23" s="1"/>
  <c r="L355" i="23" s="1"/>
  <c r="AE25" i="23"/>
  <c r="Q178" i="23"/>
  <c r="Q327" i="23" s="1"/>
  <c r="L179" i="23"/>
  <c r="AS8" i="23"/>
  <c r="AE9" i="23"/>
  <c r="AS11" i="23"/>
  <c r="AS19" i="23"/>
  <c r="AE20" i="23"/>
  <c r="AD22" i="23"/>
  <c r="R181" i="23"/>
  <c r="AE7" i="23"/>
  <c r="AD8" i="23"/>
  <c r="AR9" i="23"/>
  <c r="O9" i="23" s="1"/>
  <c r="L346" i="23" s="1"/>
  <c r="AS13" i="23"/>
  <c r="AE14" i="23"/>
  <c r="AR14" i="23"/>
  <c r="AS15" i="23"/>
  <c r="AE16" i="23"/>
  <c r="AS23" i="23"/>
  <c r="W157" i="16"/>
  <c r="AI35" i="16"/>
  <c r="W225" i="16"/>
  <c r="W206" i="16"/>
  <c r="W205" i="16" s="1"/>
  <c r="AM30" i="16"/>
  <c r="AN30" i="16" s="1"/>
  <c r="AX35" i="16"/>
  <c r="D174" i="17"/>
  <c r="D172" i="17"/>
  <c r="BA34" i="16"/>
  <c r="BB34" i="16" s="1"/>
  <c r="AY34" i="16" s="1"/>
  <c r="AM34" i="16"/>
  <c r="AJ34" i="16" s="1"/>
  <c r="L6" i="23"/>
  <c r="AT42" i="23" s="1"/>
  <c r="F100" i="23"/>
  <c r="AR12" i="23"/>
  <c r="AS12" i="23"/>
  <c r="AT34" i="16"/>
  <c r="AS47" i="23"/>
  <c r="M182" i="23"/>
  <c r="AR8" i="23"/>
  <c r="AR10" i="23"/>
  <c r="AE15" i="23"/>
  <c r="AE11" i="23"/>
  <c r="AR11" i="23"/>
  <c r="AE13" i="23"/>
  <c r="AR13" i="23"/>
  <c r="AD16" i="23"/>
  <c r="AD18" i="23"/>
  <c r="AR19" i="23"/>
  <c r="AR23" i="23"/>
  <c r="AE24" i="23"/>
  <c r="W180" i="23"/>
  <c r="M6" i="23"/>
  <c r="G64" i="16" s="1"/>
  <c r="AE8" i="23"/>
  <c r="AE10" i="23"/>
  <c r="AR15" i="23"/>
  <c r="AR17" i="23"/>
  <c r="AL35" i="16"/>
  <c r="AL26" i="16" s="1"/>
  <c r="AD12" i="23"/>
  <c r="AD20" i="23"/>
  <c r="AS24" i="23"/>
  <c r="AD25" i="23"/>
  <c r="AF25" i="23" s="1"/>
  <c r="E122" i="23"/>
  <c r="E151" i="23"/>
  <c r="AL26" i="23"/>
  <c r="AF234" i="17"/>
  <c r="AF241" i="17" s="1"/>
  <c r="AP234" i="17"/>
  <c r="AP241" i="17" s="1"/>
  <c r="AK191" i="17"/>
  <c r="AG191" i="17"/>
  <c r="AK235" i="17"/>
  <c r="D168" i="17"/>
  <c r="D167" i="17"/>
  <c r="E167" i="17" s="1"/>
  <c r="F167" i="17" s="1"/>
  <c r="G167" i="17" s="1"/>
  <c r="H167" i="17" s="1"/>
  <c r="I167" i="17" s="1"/>
  <c r="J167" i="17" s="1"/>
  <c r="K167" i="17" s="1"/>
  <c r="L167" i="17" s="1"/>
  <c r="M167" i="17" s="1"/>
  <c r="N167" i="17" s="1"/>
  <c r="O167" i="17" s="1"/>
  <c r="P167" i="17" s="1"/>
  <c r="Q167" i="17" s="1"/>
  <c r="R167" i="17" s="1"/>
  <c r="S167" i="17" s="1"/>
  <c r="T167" i="17" s="1"/>
  <c r="U167" i="17" s="1"/>
  <c r="V167" i="17" s="1"/>
  <c r="W167" i="17" s="1"/>
  <c r="D166" i="17"/>
  <c r="AR32" i="16"/>
  <c r="AL25" i="23"/>
  <c r="K113" i="23"/>
  <c r="AK239" i="17"/>
  <c r="AL24" i="23"/>
  <c r="C205" i="17"/>
  <c r="C206" i="17" s="1"/>
  <c r="C207" i="17" s="1"/>
  <c r="C208" i="17" s="1"/>
  <c r="J27" i="16"/>
  <c r="BB28" i="16"/>
  <c r="AY28" i="16" s="1"/>
  <c r="BC31" i="16"/>
  <c r="BB31" i="16"/>
  <c r="AY31" i="16" s="1"/>
  <c r="BB33" i="16"/>
  <c r="AY33" i="16" s="1"/>
  <c r="BB27" i="16"/>
  <c r="AZ35" i="16"/>
  <c r="AZ26" i="16" s="1"/>
  <c r="BC29" i="16"/>
  <c r="BB29" i="16"/>
  <c r="AY29" i="16" s="1"/>
  <c r="BB32" i="16"/>
  <c r="AY32" i="16" s="1"/>
  <c r="BC32" i="16"/>
  <c r="AK35" i="16"/>
  <c r="AK26" i="16" s="1"/>
  <c r="AE21" i="23"/>
  <c r="AD21" i="23"/>
  <c r="AM28" i="16"/>
  <c r="BB30" i="16"/>
  <c r="AY30" i="16" s="1"/>
  <c r="AM27" i="16"/>
  <c r="AM31" i="16"/>
  <c r="BC34" i="16"/>
  <c r="AD10" i="23"/>
  <c r="AD14" i="23"/>
  <c r="AS16" i="23"/>
  <c r="AE23" i="23"/>
  <c r="AD23" i="23"/>
  <c r="AS25" i="23"/>
  <c r="AR25" i="23"/>
  <c r="AT25" i="23" s="1"/>
  <c r="AS26" i="23"/>
  <c r="AR26" i="23"/>
  <c r="AT26" i="23" s="1"/>
  <c r="AM29" i="16"/>
  <c r="AS20" i="23"/>
  <c r="AE22" i="23"/>
  <c r="AE26" i="23"/>
  <c r="AD26" i="23"/>
  <c r="AF26" i="23" s="1"/>
  <c r="E248" i="23"/>
  <c r="E252" i="23"/>
  <c r="E194" i="23"/>
  <c r="AM32" i="16"/>
  <c r="AT32" i="16"/>
  <c r="AM33" i="16"/>
  <c r="AS10" i="23"/>
  <c r="AS14" i="23"/>
  <c r="AS21" i="23"/>
  <c r="AR21" i="23"/>
  <c r="K117" i="23"/>
  <c r="AK24" i="23"/>
  <c r="AM24" i="23" s="1"/>
  <c r="E124" i="23"/>
  <c r="K118" i="23"/>
  <c r="AK25" i="23"/>
  <c r="AM25" i="23" s="1"/>
  <c r="E256" i="23"/>
  <c r="E260" i="23"/>
  <c r="E202" i="23"/>
  <c r="E264" i="23"/>
  <c r="E293" i="23" s="1"/>
  <c r="E198" i="23"/>
  <c r="AD7" i="23"/>
  <c r="AD9" i="23"/>
  <c r="AD11" i="23"/>
  <c r="AD13" i="23"/>
  <c r="AD15" i="23"/>
  <c r="AD17" i="23"/>
  <c r="AD19" i="23"/>
  <c r="AR22" i="23"/>
  <c r="K119" i="23"/>
  <c r="AK26" i="23"/>
  <c r="AM26" i="23" s="1"/>
  <c r="E120" i="23"/>
  <c r="E206" i="23"/>
  <c r="E235" i="23" s="1"/>
  <c r="E247" i="23"/>
  <c r="E189" i="23"/>
  <c r="E251" i="23"/>
  <c r="E193" i="23"/>
  <c r="E255" i="23"/>
  <c r="E197" i="23"/>
  <c r="E259" i="23"/>
  <c r="E201" i="23"/>
  <c r="E263" i="23"/>
  <c r="E205" i="23"/>
  <c r="E234" i="23" s="1"/>
  <c r="E150" i="23"/>
  <c r="X182" i="23"/>
  <c r="T182" i="23"/>
  <c r="P182" i="23"/>
  <c r="L182" i="23"/>
  <c r="H182" i="23"/>
  <c r="Y181" i="23"/>
  <c r="U181" i="23"/>
  <c r="Q181" i="23"/>
  <c r="M181" i="23"/>
  <c r="I181" i="23"/>
  <c r="E181" i="23"/>
  <c r="V180" i="23"/>
  <c r="R180" i="23"/>
  <c r="N180" i="23"/>
  <c r="J180" i="23"/>
  <c r="F180" i="23"/>
  <c r="W179" i="23"/>
  <c r="S179" i="23"/>
  <c r="O179" i="23"/>
  <c r="K179" i="23"/>
  <c r="G179" i="23"/>
  <c r="W182" i="23"/>
  <c r="S182" i="23"/>
  <c r="O182" i="23"/>
  <c r="K182" i="23"/>
  <c r="G182" i="23"/>
  <c r="X181" i="23"/>
  <c r="T181" i="23"/>
  <c r="P181" i="23"/>
  <c r="L181" i="23"/>
  <c r="H181" i="23"/>
  <c r="Y180" i="23"/>
  <c r="U180" i="23"/>
  <c r="Q180" i="23"/>
  <c r="M180" i="23"/>
  <c r="I180" i="23"/>
  <c r="E180" i="23"/>
  <c r="V179" i="23"/>
  <c r="R179" i="23"/>
  <c r="N179" i="23"/>
  <c r="J179" i="23"/>
  <c r="F179" i="23"/>
  <c r="V182" i="23"/>
  <c r="R182" i="23"/>
  <c r="N182" i="23"/>
  <c r="J182" i="23"/>
  <c r="F182" i="23"/>
  <c r="W181" i="23"/>
  <c r="S181" i="23"/>
  <c r="O181" i="23"/>
  <c r="K181" i="23"/>
  <c r="G181" i="23"/>
  <c r="X180" i="23"/>
  <c r="T180" i="23"/>
  <c r="P180" i="23"/>
  <c r="L180" i="23"/>
  <c r="H180" i="23"/>
  <c r="Y179" i="23"/>
  <c r="U179" i="23"/>
  <c r="Q179" i="23"/>
  <c r="M179" i="23"/>
  <c r="I179" i="23"/>
  <c r="E179" i="23"/>
  <c r="U178" i="23"/>
  <c r="U327" i="23" s="1"/>
  <c r="P179" i="23"/>
  <c r="K180" i="23"/>
  <c r="F181" i="23"/>
  <c r="V181" i="23"/>
  <c r="Q182" i="23"/>
  <c r="E254" i="23"/>
  <c r="E258" i="23"/>
  <c r="E262" i="23"/>
  <c r="E121" i="23"/>
  <c r="E123" i="23"/>
  <c r="E153" i="23"/>
  <c r="E152" i="23"/>
  <c r="I178" i="23"/>
  <c r="Y178" i="23"/>
  <c r="T179" i="23"/>
  <c r="O180" i="23"/>
  <c r="J181" i="23"/>
  <c r="E182" i="23"/>
  <c r="U182" i="23"/>
  <c r="E187" i="23"/>
  <c r="E191" i="23"/>
  <c r="E253" i="23"/>
  <c r="E195" i="23"/>
  <c r="E199" i="23"/>
  <c r="E261" i="23"/>
  <c r="E203" i="23"/>
  <c r="M178" i="23"/>
  <c r="H179" i="23"/>
  <c r="X179" i="23"/>
  <c r="S180" i="23"/>
  <c r="N181" i="23"/>
  <c r="I182" i="23"/>
  <c r="Y182" i="23"/>
  <c r="E188" i="23"/>
  <c r="E196" i="23"/>
  <c r="E204" i="23"/>
  <c r="E233" i="23" s="1"/>
  <c r="F178" i="23"/>
  <c r="J178" i="23"/>
  <c r="N178" i="23"/>
  <c r="N327" i="23" s="1"/>
  <c r="R178" i="23"/>
  <c r="V178" i="23"/>
  <c r="G178" i="23"/>
  <c r="K178" i="23"/>
  <c r="K327" i="23" s="1"/>
  <c r="O178" i="23"/>
  <c r="S178" i="23"/>
  <c r="W178" i="23"/>
  <c r="H178" i="23"/>
  <c r="H327" i="23" s="1"/>
  <c r="L178" i="23"/>
  <c r="P178" i="23"/>
  <c r="T178" i="23"/>
  <c r="X178" i="23"/>
  <c r="C364" i="23"/>
  <c r="L67" i="23" l="1"/>
  <c r="S185" i="17"/>
  <c r="S210" i="17" s="1"/>
  <c r="H65" i="23"/>
  <c r="O183" i="17"/>
  <c r="O195" i="17" s="1"/>
  <c r="I66" i="23"/>
  <c r="P184" i="17"/>
  <c r="P200" i="17" s="1"/>
  <c r="G66" i="23"/>
  <c r="N184" i="17"/>
  <c r="N200" i="17" s="1"/>
  <c r="H67" i="23"/>
  <c r="O185" i="17"/>
  <c r="O210" i="17" s="1"/>
  <c r="M66" i="23"/>
  <c r="T184" i="17"/>
  <c r="T200" i="17" s="1"/>
  <c r="M65" i="23"/>
  <c r="T183" i="17"/>
  <c r="T195" i="17" s="1"/>
  <c r="M67" i="23"/>
  <c r="T185" i="17"/>
  <c r="T210" i="17" s="1"/>
  <c r="K66" i="23"/>
  <c r="R184" i="17"/>
  <c r="R200" i="17" s="1"/>
  <c r="K65" i="23"/>
  <c r="R183" i="17"/>
  <c r="R195" i="17" s="1"/>
  <c r="K67" i="23"/>
  <c r="R185" i="17"/>
  <c r="R210" i="17" s="1"/>
  <c r="L65" i="23"/>
  <c r="S183" i="17"/>
  <c r="S195" i="17" s="1"/>
  <c r="I67" i="23"/>
  <c r="P185" i="17"/>
  <c r="P210" i="17" s="1"/>
  <c r="U184" i="17"/>
  <c r="U200" i="17" s="1"/>
  <c r="N66" i="23"/>
  <c r="G65" i="23"/>
  <c r="N183" i="17"/>
  <c r="N195" i="17" s="1"/>
  <c r="G67" i="23"/>
  <c r="N185" i="17"/>
  <c r="N210" i="17" s="1"/>
  <c r="L66" i="23"/>
  <c r="S184" i="17"/>
  <c r="S200" i="17" s="1"/>
  <c r="J66" i="23"/>
  <c r="Q184" i="17"/>
  <c r="Q200" i="17" s="1"/>
  <c r="H66" i="23"/>
  <c r="O184" i="17"/>
  <c r="O200" i="17" s="1"/>
  <c r="M184" i="17"/>
  <c r="J65" i="23"/>
  <c r="Q183" i="17"/>
  <c r="Q195" i="17" s="1"/>
  <c r="M183" i="17"/>
  <c r="L181" i="17"/>
  <c r="L215" i="17" s="1"/>
  <c r="M210" i="17"/>
  <c r="M200" i="17"/>
  <c r="M195" i="17"/>
  <c r="N215" i="17"/>
  <c r="R215" i="17"/>
  <c r="G63" i="23"/>
  <c r="E63" i="23"/>
  <c r="S181" i="17"/>
  <c r="L63" i="23"/>
  <c r="C77" i="17"/>
  <c r="W78" i="17"/>
  <c r="K178" i="17"/>
  <c r="L183" i="17"/>
  <c r="L184" i="17"/>
  <c r="L185" i="17"/>
  <c r="L180" i="17"/>
  <c r="L190" i="17" s="1"/>
  <c r="E51" i="1"/>
  <c r="G64" i="23"/>
  <c r="N182" i="17"/>
  <c r="H64" i="23"/>
  <c r="O182" i="17"/>
  <c r="F63" i="23"/>
  <c r="M181" i="17"/>
  <c r="M64" i="23"/>
  <c r="T182" i="17"/>
  <c r="J64" i="23"/>
  <c r="Q182" i="17"/>
  <c r="K64" i="23"/>
  <c r="R182" i="17"/>
  <c r="M63" i="23"/>
  <c r="T181" i="17"/>
  <c r="N64" i="23"/>
  <c r="U182" i="17"/>
  <c r="I64" i="23"/>
  <c r="P182" i="17"/>
  <c r="I63" i="23"/>
  <c r="P181" i="17"/>
  <c r="H63" i="23"/>
  <c r="O181" i="17"/>
  <c r="L64" i="23"/>
  <c r="S182" i="17"/>
  <c r="J63" i="23"/>
  <c r="Q181" i="17"/>
  <c r="E52" i="1"/>
  <c r="I51" i="1"/>
  <c r="K51" i="1"/>
  <c r="F51" i="1"/>
  <c r="J51" i="1"/>
  <c r="G51" i="1"/>
  <c r="H51" i="1"/>
  <c r="W202" i="17"/>
  <c r="W203" i="17" s="1"/>
  <c r="W212" i="17"/>
  <c r="W213" i="17" s="1"/>
  <c r="AK240" i="17"/>
  <c r="AP236" i="17"/>
  <c r="K90" i="17"/>
  <c r="I90" i="17"/>
  <c r="AL235" i="17"/>
  <c r="X79" i="16"/>
  <c r="X78" i="16"/>
  <c r="X76" i="16"/>
  <c r="F123" i="23"/>
  <c r="G95" i="23"/>
  <c r="G337" i="23" s="1"/>
  <c r="H95" i="23"/>
  <c r="H317" i="23" s="1"/>
  <c r="E291" i="23"/>
  <c r="E292" i="23"/>
  <c r="AJ18" i="23"/>
  <c r="K111" i="23" s="1"/>
  <c r="AJ9" i="23"/>
  <c r="K102" i="23" s="1"/>
  <c r="AS34" i="16"/>
  <c r="AJ8" i="23"/>
  <c r="K101" i="23" s="1"/>
  <c r="F121" i="23"/>
  <c r="AL234" i="17"/>
  <c r="J94" i="23"/>
  <c r="I95" i="23"/>
  <c r="I337" i="23" s="1"/>
  <c r="F124" i="23"/>
  <c r="E209" i="23"/>
  <c r="G327" i="23"/>
  <c r="R327" i="23"/>
  <c r="W327" i="23"/>
  <c r="O14" i="23"/>
  <c r="L351" i="23" s="1"/>
  <c r="AJ30" i="16"/>
  <c r="F120" i="23"/>
  <c r="E325" i="23" s="1"/>
  <c r="X140" i="16"/>
  <c r="AT41" i="23"/>
  <c r="L64" i="16"/>
  <c r="Y141" i="16" s="1"/>
  <c r="BA35" i="16"/>
  <c r="BA26" i="16" s="1"/>
  <c r="E225" i="23"/>
  <c r="E286" i="23"/>
  <c r="E284" i="23"/>
  <c r="E276" i="23"/>
  <c r="E231" i="23"/>
  <c r="E217" i="23"/>
  <c r="E228" i="23"/>
  <c r="E278" i="23"/>
  <c r="E287" i="23"/>
  <c r="O22" i="23"/>
  <c r="L359" i="23" s="1"/>
  <c r="E289" i="23"/>
  <c r="X327" i="23"/>
  <c r="E290" i="23"/>
  <c r="E282" i="23"/>
  <c r="E245" i="23"/>
  <c r="E265" i="23" s="1"/>
  <c r="E279" i="23"/>
  <c r="E226" i="23"/>
  <c r="E218" i="23"/>
  <c r="F122" i="23"/>
  <c r="O21" i="23"/>
  <c r="L358" i="23" s="1"/>
  <c r="E223" i="23"/>
  <c r="O17" i="23"/>
  <c r="L354" i="23" s="1"/>
  <c r="O23" i="23"/>
  <c r="L360" i="23" s="1"/>
  <c r="O13" i="23"/>
  <c r="L350" i="23" s="1"/>
  <c r="O10" i="23"/>
  <c r="E220" i="23"/>
  <c r="E275" i="23"/>
  <c r="E281" i="23"/>
  <c r="O15" i="23"/>
  <c r="L352" i="23" s="1"/>
  <c r="O19" i="23"/>
  <c r="O8" i="23"/>
  <c r="O12" i="23"/>
  <c r="E222" i="23"/>
  <c r="O11" i="23"/>
  <c r="E232" i="23"/>
  <c r="E224" i="23"/>
  <c r="E283" i="23"/>
  <c r="M327" i="23"/>
  <c r="E288" i="23"/>
  <c r="E280" i="23"/>
  <c r="E227" i="23"/>
  <c r="E285" i="23"/>
  <c r="K27" i="16"/>
  <c r="AF27" i="16"/>
  <c r="D89" i="17" s="1"/>
  <c r="D90" i="17" s="1"/>
  <c r="AG234" i="17"/>
  <c r="AG241" i="17" s="1"/>
  <c r="AG235" i="17"/>
  <c r="AH191" i="17"/>
  <c r="AL239" i="17"/>
  <c r="AF239" i="17"/>
  <c r="AF240" i="17" s="1"/>
  <c r="AM235" i="17"/>
  <c r="AM234" i="17"/>
  <c r="AM241" i="17" s="1"/>
  <c r="X192" i="17"/>
  <c r="Y192" i="17" s="1"/>
  <c r="Z192" i="17" s="1"/>
  <c r="AA192" i="17" s="1"/>
  <c r="AB192" i="17" s="1"/>
  <c r="AC192" i="17" s="1"/>
  <c r="AD192" i="17" s="1"/>
  <c r="AE192" i="17" s="1"/>
  <c r="AF192" i="17" s="1"/>
  <c r="AG192" i="17" s="1"/>
  <c r="AH192" i="17" s="1"/>
  <c r="AI192" i="17" s="1"/>
  <c r="AJ192" i="17" s="1"/>
  <c r="AK192" i="17" s="1"/>
  <c r="AA239" i="17"/>
  <c r="AA240" i="17" s="1"/>
  <c r="AP239" i="17"/>
  <c r="O307" i="23"/>
  <c r="E230" i="23"/>
  <c r="E211" i="23"/>
  <c r="E208" i="23"/>
  <c r="AJ33" i="16"/>
  <c r="Y139" i="16"/>
  <c r="AN29" i="16"/>
  <c r="AJ29" i="16"/>
  <c r="AS6" i="23"/>
  <c r="AE6" i="23"/>
  <c r="O327" i="23"/>
  <c r="I307" i="23"/>
  <c r="I327" i="23"/>
  <c r="P307" i="23"/>
  <c r="P327" i="23"/>
  <c r="V307" i="23"/>
  <c r="V327" i="23"/>
  <c r="F317" i="23"/>
  <c r="F307" i="23"/>
  <c r="F337" i="23"/>
  <c r="F327" i="23"/>
  <c r="E277" i="23"/>
  <c r="AN31" i="16"/>
  <c r="AJ31" i="16"/>
  <c r="Q307" i="23"/>
  <c r="T307" i="23"/>
  <c r="S307" i="23"/>
  <c r="J307" i="23"/>
  <c r="J327" i="23"/>
  <c r="Y307" i="23"/>
  <c r="AM35" i="16"/>
  <c r="AM26" i="16" s="1"/>
  <c r="AJ27" i="16"/>
  <c r="BB35" i="16"/>
  <c r="AY27" i="16"/>
  <c r="AY35" i="16" s="1"/>
  <c r="L307" i="23"/>
  <c r="T327" i="23"/>
  <c r="L327" i="23"/>
  <c r="K307" i="23"/>
  <c r="R307" i="23"/>
  <c r="E216" i="23"/>
  <c r="E207" i="23"/>
  <c r="E210" i="23"/>
  <c r="U307" i="23"/>
  <c r="AS32" i="16"/>
  <c r="AU32" i="16"/>
  <c r="AJ28" i="16"/>
  <c r="X307" i="23"/>
  <c r="H307" i="23"/>
  <c r="W307" i="23"/>
  <c r="G307" i="23"/>
  <c r="S327" i="23"/>
  <c r="N307" i="23"/>
  <c r="M307" i="23"/>
  <c r="Y327" i="23"/>
  <c r="AD6" i="23"/>
  <c r="AN32" i="16"/>
  <c r="AJ32" i="16"/>
  <c r="AR6" i="23"/>
  <c r="I91" i="17" l="1"/>
  <c r="L195" i="17"/>
  <c r="L210" i="17"/>
  <c r="L200" i="17"/>
  <c r="P205" i="17"/>
  <c r="Q205" i="17"/>
  <c r="N205" i="17"/>
  <c r="S205" i="17"/>
  <c r="U205" i="17"/>
  <c r="R205" i="17"/>
  <c r="T205" i="17"/>
  <c r="O205" i="17"/>
  <c r="Q215" i="17"/>
  <c r="O215" i="17"/>
  <c r="T215" i="17"/>
  <c r="M215" i="17"/>
  <c r="P215" i="17"/>
  <c r="S215" i="17"/>
  <c r="K182" i="17"/>
  <c r="C76" i="17"/>
  <c r="W77" i="17"/>
  <c r="J178" i="17"/>
  <c r="K183" i="17"/>
  <c r="K184" i="17"/>
  <c r="K185" i="17"/>
  <c r="K180" i="17"/>
  <c r="K190" i="17" s="1"/>
  <c r="K181" i="17"/>
  <c r="E64" i="23"/>
  <c r="L182" i="17"/>
  <c r="F64" i="23"/>
  <c r="M182" i="17"/>
  <c r="AP240" i="17"/>
  <c r="AL240" i="17"/>
  <c r="AL241" i="17"/>
  <c r="AL236" i="17"/>
  <c r="AM236" i="17"/>
  <c r="AI11" i="23"/>
  <c r="I104" i="23" s="1"/>
  <c r="K91" i="17"/>
  <c r="AF14" i="23"/>
  <c r="AD5" i="23"/>
  <c r="AT14" i="23"/>
  <c r="AR5" i="23"/>
  <c r="I67" i="16"/>
  <c r="X121" i="16" s="1"/>
  <c r="I65" i="16"/>
  <c r="X119" i="16" s="1"/>
  <c r="L349" i="23"/>
  <c r="I66" i="16"/>
  <c r="X120" i="16" s="1"/>
  <c r="L356" i="23"/>
  <c r="I68" i="16"/>
  <c r="L348" i="23"/>
  <c r="G348" i="23" s="1"/>
  <c r="G317" i="23"/>
  <c r="H337" i="23"/>
  <c r="AI10" i="23"/>
  <c r="I103" i="23" s="1"/>
  <c r="AT19" i="23"/>
  <c r="BB26" i="16"/>
  <c r="BC28" i="16"/>
  <c r="AN28" i="16"/>
  <c r="G349" i="23"/>
  <c r="G352" i="23"/>
  <c r="AF12" i="23"/>
  <c r="AT17" i="23"/>
  <c r="I317" i="23"/>
  <c r="E335" i="23"/>
  <c r="K94" i="23"/>
  <c r="J95" i="23"/>
  <c r="AF10" i="23"/>
  <c r="AF23" i="23"/>
  <c r="AF9" i="23"/>
  <c r="AF17" i="23"/>
  <c r="AF20" i="23"/>
  <c r="AF7" i="23"/>
  <c r="AF18" i="23"/>
  <c r="E305" i="23"/>
  <c r="E314" i="23" s="1"/>
  <c r="E318" i="23" s="1"/>
  <c r="E319" i="23" s="1"/>
  <c r="G350" i="23"/>
  <c r="X141" i="16"/>
  <c r="E267" i="23"/>
  <c r="AN27" i="16"/>
  <c r="E315" i="23"/>
  <c r="BC27" i="16"/>
  <c r="L345" i="23"/>
  <c r="G345" i="23" s="1"/>
  <c r="O6" i="23"/>
  <c r="I64" i="16" s="1"/>
  <c r="X122" i="16" s="1"/>
  <c r="AT21" i="23"/>
  <c r="AN33" i="16"/>
  <c r="E266" i="23"/>
  <c r="AF8" i="23"/>
  <c r="AF22" i="23"/>
  <c r="E274" i="23"/>
  <c r="E296" i="23" s="1"/>
  <c r="AJ35" i="16"/>
  <c r="E268" i="23"/>
  <c r="AF16" i="23"/>
  <c r="AT12" i="23"/>
  <c r="AF11" i="23"/>
  <c r="AT13" i="23"/>
  <c r="AF21" i="23"/>
  <c r="AF19" i="23"/>
  <c r="AT9" i="23"/>
  <c r="AT20" i="23"/>
  <c r="AT16" i="23"/>
  <c r="AT7" i="23"/>
  <c r="AT18" i="23"/>
  <c r="AT11" i="23"/>
  <c r="L347" i="23"/>
  <c r="G347" i="23" s="1"/>
  <c r="AI22" i="23"/>
  <c r="AI21" i="23"/>
  <c r="AI20" i="23"/>
  <c r="AI23" i="23"/>
  <c r="AI17" i="23"/>
  <c r="AI8" i="23"/>
  <c r="AI16" i="23"/>
  <c r="AI9" i="23"/>
  <c r="AI18" i="23"/>
  <c r="AI7" i="23"/>
  <c r="AN34" i="16"/>
  <c r="AT8" i="23"/>
  <c r="AT15" i="23"/>
  <c r="AT10" i="23"/>
  <c r="AT23" i="23"/>
  <c r="E269" i="23"/>
  <c r="AF15" i="23"/>
  <c r="BC33" i="16"/>
  <c r="G351" i="23"/>
  <c r="G353" i="23"/>
  <c r="G346" i="23"/>
  <c r="G344" i="23"/>
  <c r="AF13" i="23"/>
  <c r="AT22" i="23"/>
  <c r="AH235" i="17"/>
  <c r="D152" i="17"/>
  <c r="D151" i="17"/>
  <c r="E151" i="17" s="1"/>
  <c r="F151" i="17" s="1"/>
  <c r="G151" i="17" s="1"/>
  <c r="H151" i="17" s="1"/>
  <c r="I151" i="17" s="1"/>
  <c r="J151" i="17" s="1"/>
  <c r="K151" i="17" s="1"/>
  <c r="L151" i="17" s="1"/>
  <c r="M151" i="17" s="1"/>
  <c r="N151" i="17" s="1"/>
  <c r="O151" i="17" s="1"/>
  <c r="P151" i="17" s="1"/>
  <c r="Q151" i="17" s="1"/>
  <c r="R151" i="17" s="1"/>
  <c r="S151" i="17" s="1"/>
  <c r="T151" i="17" s="1"/>
  <c r="U151" i="17" s="1"/>
  <c r="V151" i="17" s="1"/>
  <c r="W151" i="17" s="1"/>
  <c r="AT27" i="16"/>
  <c r="AR27" i="16"/>
  <c r="D153" i="17"/>
  <c r="AI191" i="17"/>
  <c r="AH234" i="17"/>
  <c r="AH241" i="17" s="1"/>
  <c r="J31" i="16"/>
  <c r="AF31" i="16" s="1"/>
  <c r="H89" i="17" s="1"/>
  <c r="AN234" i="17"/>
  <c r="AN241" i="17" s="1"/>
  <c r="AN235" i="17"/>
  <c r="AG239" i="17"/>
  <c r="AG240" i="17" s="1"/>
  <c r="AB239" i="17"/>
  <c r="AB240" i="17" s="1"/>
  <c r="W239" i="17"/>
  <c r="W235" i="17"/>
  <c r="W234" i="17"/>
  <c r="J30" i="16"/>
  <c r="AF30" i="16" s="1"/>
  <c r="G89" i="17" s="1"/>
  <c r="AM239" i="17"/>
  <c r="E237" i="23"/>
  <c r="E236" i="23"/>
  <c r="E240" i="23"/>
  <c r="E239" i="23"/>
  <c r="E238" i="23"/>
  <c r="E324" i="23"/>
  <c r="E328" i="23" s="1"/>
  <c r="E329" i="23" s="1"/>
  <c r="E334" i="23"/>
  <c r="E338" i="23" s="1"/>
  <c r="E339" i="23" s="1"/>
  <c r="X139" i="16"/>
  <c r="K92" i="17" l="1"/>
  <c r="I92" i="17"/>
  <c r="E152" i="17"/>
  <c r="F152" i="17" s="1"/>
  <c r="G152" i="17" s="1"/>
  <c r="H152" i="17" s="1"/>
  <c r="I152" i="17" s="1"/>
  <c r="J152" i="17" s="1"/>
  <c r="K152" i="17" s="1"/>
  <c r="L152" i="17" s="1"/>
  <c r="M152" i="17" s="1"/>
  <c r="N152" i="17" s="1"/>
  <c r="O152" i="17" s="1"/>
  <c r="P152" i="17" s="1"/>
  <c r="Q152" i="17" s="1"/>
  <c r="R152" i="17" s="1"/>
  <c r="S152" i="17" s="1"/>
  <c r="T152" i="17" s="1"/>
  <c r="U152" i="17" s="1"/>
  <c r="V152" i="17" s="1"/>
  <c r="W152" i="17" s="1"/>
  <c r="K200" i="17"/>
  <c r="K215" i="17"/>
  <c r="K195" i="17"/>
  <c r="K210" i="17"/>
  <c r="L205" i="17"/>
  <c r="M205" i="17"/>
  <c r="K205" i="17"/>
  <c r="I178" i="17"/>
  <c r="J184" i="17"/>
  <c r="J185" i="17"/>
  <c r="J180" i="17"/>
  <c r="J190" i="17" s="1"/>
  <c r="J181" i="17"/>
  <c r="J183" i="17"/>
  <c r="J182" i="17"/>
  <c r="C75" i="17"/>
  <c r="W76" i="17"/>
  <c r="AM240" i="17"/>
  <c r="AG237" i="17"/>
  <c r="AK237" i="17"/>
  <c r="AH237" i="17"/>
  <c r="AL237" i="17"/>
  <c r="AP237" i="17"/>
  <c r="AM237" i="17"/>
  <c r="AF237" i="17"/>
  <c r="AN237" i="17"/>
  <c r="AN236" i="17"/>
  <c r="AL11" i="23"/>
  <c r="AK11" i="23"/>
  <c r="N11" i="23" s="1"/>
  <c r="X11" i="23" s="1"/>
  <c r="P11" i="23" s="1"/>
  <c r="S11" i="23" s="1"/>
  <c r="AI235" i="17"/>
  <c r="AI237" i="17" s="1"/>
  <c r="AI234" i="17"/>
  <c r="AI241" i="17" s="1"/>
  <c r="J29" i="16"/>
  <c r="AF29" i="16" s="1"/>
  <c r="F89" i="17" s="1"/>
  <c r="AK10" i="23"/>
  <c r="N10" i="23" s="1"/>
  <c r="H347" i="23" s="1"/>
  <c r="AL10" i="23"/>
  <c r="J317" i="23"/>
  <c r="J337" i="23"/>
  <c r="L94" i="23"/>
  <c r="K95" i="23"/>
  <c r="E304" i="23"/>
  <c r="E308" i="23" s="1"/>
  <c r="E309" i="23" s="1"/>
  <c r="E295" i="23"/>
  <c r="AF6" i="23"/>
  <c r="E294" i="23"/>
  <c r="E297" i="23"/>
  <c r="E298" i="23"/>
  <c r="I100" i="23"/>
  <c r="AK8" i="23"/>
  <c r="AL8" i="23"/>
  <c r="I101" i="23"/>
  <c r="I113" i="23"/>
  <c r="AL20" i="23"/>
  <c r="AK20" i="23"/>
  <c r="AL21" i="23"/>
  <c r="I114" i="23"/>
  <c r="AK21" i="23"/>
  <c r="AL9" i="23"/>
  <c r="AK9" i="23"/>
  <c r="I102" i="23"/>
  <c r="I110" i="23"/>
  <c r="AK17" i="23"/>
  <c r="AL17" i="23"/>
  <c r="AK22" i="23"/>
  <c r="AL22" i="23"/>
  <c r="I115" i="23"/>
  <c r="AT6" i="23"/>
  <c r="AK18" i="23"/>
  <c r="I111" i="23"/>
  <c r="AL18" i="23"/>
  <c r="I109" i="23"/>
  <c r="AK16" i="23"/>
  <c r="AL16" i="23"/>
  <c r="I116" i="23"/>
  <c r="AK23" i="23"/>
  <c r="AL23" i="23"/>
  <c r="AS27" i="16"/>
  <c r="AC239" i="17"/>
  <c r="AC240" i="17" s="1"/>
  <c r="AJ235" i="17"/>
  <c r="AJ237" i="17" s="1"/>
  <c r="AJ191" i="17"/>
  <c r="AJ234" i="17"/>
  <c r="AJ241" i="17" s="1"/>
  <c r="AO234" i="17"/>
  <c r="AO241" i="17" s="1"/>
  <c r="AO235" i="17"/>
  <c r="AO237" i="17" s="1"/>
  <c r="H90" i="17"/>
  <c r="D165" i="17"/>
  <c r="D163" i="17"/>
  <c r="AR31" i="16"/>
  <c r="D164" i="17"/>
  <c r="E164" i="17" s="1"/>
  <c r="F164" i="17" s="1"/>
  <c r="G164" i="17" s="1"/>
  <c r="H164" i="17" s="1"/>
  <c r="I164" i="17" s="1"/>
  <c r="J164" i="17" s="1"/>
  <c r="K164" i="17" s="1"/>
  <c r="L164" i="17" s="1"/>
  <c r="M164" i="17" s="1"/>
  <c r="N164" i="17" s="1"/>
  <c r="O164" i="17" s="1"/>
  <c r="P164" i="17" s="1"/>
  <c r="Q164" i="17" s="1"/>
  <c r="R164" i="17" s="1"/>
  <c r="S164" i="17" s="1"/>
  <c r="T164" i="17" s="1"/>
  <c r="U164" i="17" s="1"/>
  <c r="V164" i="17" s="1"/>
  <c r="W164" i="17" s="1"/>
  <c r="AT31" i="16"/>
  <c r="AU31" i="16" s="1"/>
  <c r="D144" i="17"/>
  <c r="J28" i="16"/>
  <c r="AN239" i="17"/>
  <c r="AH239" i="17"/>
  <c r="AH240" i="17" s="1"/>
  <c r="D162" i="17"/>
  <c r="D161" i="17"/>
  <c r="E161" i="17" s="1"/>
  <c r="F161" i="17" s="1"/>
  <c r="G161" i="17" s="1"/>
  <c r="H161" i="17" s="1"/>
  <c r="I161" i="17" s="1"/>
  <c r="J161" i="17" s="1"/>
  <c r="K161" i="17" s="1"/>
  <c r="L161" i="17" s="1"/>
  <c r="M161" i="17" s="1"/>
  <c r="N161" i="17" s="1"/>
  <c r="O161" i="17" s="1"/>
  <c r="P161" i="17" s="1"/>
  <c r="Q161" i="17" s="1"/>
  <c r="R161" i="17" s="1"/>
  <c r="S161" i="17" s="1"/>
  <c r="T161" i="17" s="1"/>
  <c r="U161" i="17" s="1"/>
  <c r="V161" i="17" s="1"/>
  <c r="W161" i="17" s="1"/>
  <c r="D160" i="17"/>
  <c r="AT30" i="16"/>
  <c r="AU30" i="16" s="1"/>
  <c r="AR30" i="16"/>
  <c r="X239" i="17"/>
  <c r="K93" i="17" l="1"/>
  <c r="I93" i="17"/>
  <c r="J195" i="17"/>
  <c r="J215" i="17"/>
  <c r="J210" i="17"/>
  <c r="J205" i="17"/>
  <c r="C74" i="17"/>
  <c r="W75" i="17"/>
  <c r="H178" i="17"/>
  <c r="I185" i="17"/>
  <c r="I180" i="17"/>
  <c r="I190" i="17" s="1"/>
  <c r="I181" i="17"/>
  <c r="I183" i="17"/>
  <c r="I184" i="17"/>
  <c r="I182" i="17"/>
  <c r="AN240" i="17"/>
  <c r="X240" i="17"/>
  <c r="H348" i="23"/>
  <c r="AO236" i="17"/>
  <c r="J33" i="16"/>
  <c r="AF33" i="16" s="1"/>
  <c r="D157" i="17"/>
  <c r="D159" i="17"/>
  <c r="D158" i="17"/>
  <c r="E158" i="17" s="1"/>
  <c r="F158" i="17" s="1"/>
  <c r="G158" i="17" s="1"/>
  <c r="H158" i="17" s="1"/>
  <c r="I158" i="17" s="1"/>
  <c r="J158" i="17" s="1"/>
  <c r="K158" i="17" s="1"/>
  <c r="L158" i="17" s="1"/>
  <c r="M158" i="17" s="1"/>
  <c r="N158" i="17" s="1"/>
  <c r="O158" i="17" s="1"/>
  <c r="P158" i="17" s="1"/>
  <c r="Q158" i="17" s="1"/>
  <c r="R158" i="17" s="1"/>
  <c r="S158" i="17" s="1"/>
  <c r="T158" i="17" s="1"/>
  <c r="U158" i="17" s="1"/>
  <c r="V158" i="17" s="1"/>
  <c r="W158" i="17" s="1"/>
  <c r="F90" i="17"/>
  <c r="AR29" i="16"/>
  <c r="AT29" i="16"/>
  <c r="AU29" i="16" s="1"/>
  <c r="X10" i="23"/>
  <c r="P10" i="23" s="1"/>
  <c r="S10" i="23" s="1"/>
  <c r="AF28" i="16"/>
  <c r="E89" i="17" s="1"/>
  <c r="K28" i="16"/>
  <c r="K35" i="16" s="1"/>
  <c r="K337" i="23"/>
  <c r="K317" i="23"/>
  <c r="L95" i="23"/>
  <c r="M94" i="23"/>
  <c r="N18" i="23"/>
  <c r="X18" i="23" s="1"/>
  <c r="P18" i="23" s="1"/>
  <c r="S18" i="23" s="1"/>
  <c r="N21" i="23"/>
  <c r="X21" i="23" s="1"/>
  <c r="P21" i="23" s="1"/>
  <c r="S21" i="23" s="1"/>
  <c r="N16" i="23"/>
  <c r="N9" i="23"/>
  <c r="N20" i="23"/>
  <c r="X20" i="23" s="1"/>
  <c r="P20" i="23" s="1"/>
  <c r="S20" i="23" s="1"/>
  <c r="N22" i="23"/>
  <c r="X22" i="23" s="1"/>
  <c r="P22" i="23" s="1"/>
  <c r="S22" i="23" s="1"/>
  <c r="N23" i="23"/>
  <c r="X23" i="23" s="1"/>
  <c r="P23" i="23" s="1"/>
  <c r="S23" i="23" s="1"/>
  <c r="N17" i="23"/>
  <c r="X17" i="23" s="1"/>
  <c r="P17" i="23" s="1"/>
  <c r="S17" i="23" s="1"/>
  <c r="N8" i="23"/>
  <c r="AS30" i="16"/>
  <c r="AO239" i="17"/>
  <c r="Y239" i="17"/>
  <c r="AI239" i="17"/>
  <c r="AI240" i="17" s="1"/>
  <c r="AS31" i="16"/>
  <c r="AD239" i="17"/>
  <c r="AD240" i="17" s="1"/>
  <c r="K94" i="17" l="1"/>
  <c r="I94" i="17"/>
  <c r="I210" i="17"/>
  <c r="I195" i="17"/>
  <c r="I215" i="17"/>
  <c r="I205" i="17"/>
  <c r="G178" i="17"/>
  <c r="AB75" i="17" s="1"/>
  <c r="H181" i="17"/>
  <c r="H183" i="17"/>
  <c r="H184" i="17"/>
  <c r="H185" i="17"/>
  <c r="H180" i="17"/>
  <c r="H190" i="17" s="1"/>
  <c r="H182" i="17"/>
  <c r="C73" i="17"/>
  <c r="H174" i="17" s="1"/>
  <c r="W74" i="17"/>
  <c r="X206" i="17"/>
  <c r="AO240" i="17"/>
  <c r="Y240" i="17"/>
  <c r="D170" i="17"/>
  <c r="E170" i="17" s="1"/>
  <c r="F170" i="17" s="1"/>
  <c r="G170" i="17" s="1"/>
  <c r="H170" i="17" s="1"/>
  <c r="I170" i="17" s="1"/>
  <c r="J170" i="17" s="1"/>
  <c r="K170" i="17" s="1"/>
  <c r="L170" i="17" s="1"/>
  <c r="M170" i="17" s="1"/>
  <c r="N170" i="17" s="1"/>
  <c r="O170" i="17" s="1"/>
  <c r="P170" i="17" s="1"/>
  <c r="Q170" i="17" s="1"/>
  <c r="R170" i="17" s="1"/>
  <c r="S170" i="17" s="1"/>
  <c r="T170" i="17" s="1"/>
  <c r="U170" i="17" s="1"/>
  <c r="V170" i="17" s="1"/>
  <c r="W170" i="17" s="1"/>
  <c r="J89" i="17"/>
  <c r="J90" i="17" s="1"/>
  <c r="D91" i="17"/>
  <c r="D171" i="17"/>
  <c r="AT33" i="16"/>
  <c r="D169" i="17"/>
  <c r="AR33" i="16"/>
  <c r="E90" i="17"/>
  <c r="E156" i="17" s="1"/>
  <c r="AI19" i="23"/>
  <c r="AK19" i="23" s="1"/>
  <c r="N19" i="23" s="1"/>
  <c r="AS29" i="16"/>
  <c r="G90" i="17"/>
  <c r="H91" i="17"/>
  <c r="D156" i="17"/>
  <c r="D154" i="17"/>
  <c r="E154" i="17" s="1"/>
  <c r="AR28" i="16"/>
  <c r="AT28" i="16"/>
  <c r="D155" i="17"/>
  <c r="E155" i="17" s="1"/>
  <c r="F155" i="17" s="1"/>
  <c r="G155" i="17" s="1"/>
  <c r="H155" i="17" s="1"/>
  <c r="I155" i="17" s="1"/>
  <c r="J155" i="17" s="1"/>
  <c r="K155" i="17" s="1"/>
  <c r="L155" i="17" s="1"/>
  <c r="M155" i="17" s="1"/>
  <c r="N155" i="17" s="1"/>
  <c r="O155" i="17" s="1"/>
  <c r="P155" i="17" s="1"/>
  <c r="Q155" i="17" s="1"/>
  <c r="R155" i="17" s="1"/>
  <c r="S155" i="17" s="1"/>
  <c r="T155" i="17" s="1"/>
  <c r="U155" i="17" s="1"/>
  <c r="V155" i="17" s="1"/>
  <c r="W155" i="17" s="1"/>
  <c r="AI14" i="23"/>
  <c r="AI13" i="23"/>
  <c r="AJ7" i="23"/>
  <c r="AI12" i="23"/>
  <c r="AI15" i="23"/>
  <c r="AM22" i="23"/>
  <c r="N94" i="23"/>
  <c r="M95" i="23"/>
  <c r="L337" i="23"/>
  <c r="L317" i="23"/>
  <c r="H346" i="23"/>
  <c r="X9" i="23"/>
  <c r="P9" i="23" s="1"/>
  <c r="S9" i="23" s="1"/>
  <c r="H353" i="23"/>
  <c r="X16" i="23"/>
  <c r="P16" i="23" s="1"/>
  <c r="S16" i="23" s="1"/>
  <c r="AM21" i="23"/>
  <c r="AM23" i="23"/>
  <c r="AM20" i="23"/>
  <c r="H345" i="23"/>
  <c r="X8" i="23"/>
  <c r="P8" i="23" s="1"/>
  <c r="S8" i="23" s="1"/>
  <c r="AJ239" i="17"/>
  <c r="AJ240" i="17" s="1"/>
  <c r="Z239" i="17"/>
  <c r="AE239" i="17"/>
  <c r="AE240" i="17" s="1"/>
  <c r="E171" i="17" l="1"/>
  <c r="E162" i="17"/>
  <c r="F153" i="17"/>
  <c r="Y75" i="17"/>
  <c r="Z75" i="17"/>
  <c r="X75" i="17"/>
  <c r="Z89" i="17"/>
  <c r="AA89" i="17"/>
  <c r="AB89" i="17"/>
  <c r="Y89" i="17"/>
  <c r="AA88" i="17"/>
  <c r="Y88" i="17"/>
  <c r="X89" i="17"/>
  <c r="AB88" i="17"/>
  <c r="Z88" i="17"/>
  <c r="X88" i="17"/>
  <c r="Z87" i="17"/>
  <c r="AA87" i="17"/>
  <c r="AB87" i="17"/>
  <c r="X87" i="17"/>
  <c r="Z86" i="17"/>
  <c r="AA86" i="17"/>
  <c r="AB86" i="17"/>
  <c r="Z85" i="17"/>
  <c r="AB85" i="17"/>
  <c r="AA85" i="17"/>
  <c r="AA84" i="17"/>
  <c r="AB84" i="17"/>
  <c r="Z84" i="17"/>
  <c r="Z83" i="17"/>
  <c r="AA83" i="17"/>
  <c r="AB83" i="17"/>
  <c r="AA82" i="17"/>
  <c r="AB82" i="17"/>
  <c r="Z82" i="17"/>
  <c r="Z81" i="17"/>
  <c r="AA81" i="17"/>
  <c r="AB81" i="17"/>
  <c r="AB80" i="17"/>
  <c r="AA80" i="17"/>
  <c r="Z80" i="17"/>
  <c r="AB79" i="17"/>
  <c r="Z79" i="17"/>
  <c r="X80" i="17"/>
  <c r="AA79" i="17"/>
  <c r="X84" i="17"/>
  <c r="X78" i="17"/>
  <c r="AB78" i="17"/>
  <c r="Y82" i="17"/>
  <c r="Y80" i="17"/>
  <c r="Y87" i="17"/>
  <c r="Y86" i="17"/>
  <c r="X83" i="17"/>
  <c r="X86" i="17"/>
  <c r="X82" i="17"/>
  <c r="Y84" i="17"/>
  <c r="X85" i="17"/>
  <c r="Z78" i="17"/>
  <c r="AA78" i="17"/>
  <c r="Y83" i="17"/>
  <c r="Y85" i="17"/>
  <c r="Y81" i="17"/>
  <c r="X81" i="17"/>
  <c r="X79" i="17"/>
  <c r="AA77" i="17"/>
  <c r="Z77" i="17"/>
  <c r="Y78" i="17"/>
  <c r="Y77" i="17"/>
  <c r="X77" i="17"/>
  <c r="Y79" i="17"/>
  <c r="AB77" i="17"/>
  <c r="AA76" i="17"/>
  <c r="Z76" i="17"/>
  <c r="AB76" i="17"/>
  <c r="X76" i="17"/>
  <c r="Y76" i="17"/>
  <c r="AA75" i="17"/>
  <c r="F154" i="17"/>
  <c r="W73" i="17"/>
  <c r="E153" i="17"/>
  <c r="E174" i="17"/>
  <c r="E168" i="17"/>
  <c r="F174" i="17"/>
  <c r="F168" i="17"/>
  <c r="G168" i="17"/>
  <c r="G174" i="17"/>
  <c r="E165" i="17"/>
  <c r="AA74" i="17"/>
  <c r="H168" i="17"/>
  <c r="E159" i="17"/>
  <c r="K95" i="17"/>
  <c r="I174" i="17"/>
  <c r="I95" i="17"/>
  <c r="I168" i="17"/>
  <c r="H92" i="17"/>
  <c r="F165" i="17"/>
  <c r="G91" i="17"/>
  <c r="F162" i="17" s="1"/>
  <c r="D92" i="17"/>
  <c r="G153" i="17" s="1"/>
  <c r="H195" i="17"/>
  <c r="Z74" i="17"/>
  <c r="H215" i="17"/>
  <c r="X74" i="17"/>
  <c r="H210" i="17"/>
  <c r="AB74" i="17"/>
  <c r="H205" i="17"/>
  <c r="Y74" i="17"/>
  <c r="G183" i="17"/>
  <c r="G184" i="17"/>
  <c r="G185" i="17"/>
  <c r="G181" i="17"/>
  <c r="G180" i="17"/>
  <c r="G190" i="17" s="1"/>
  <c r="G182" i="17"/>
  <c r="Y206" i="17"/>
  <c r="Z240" i="17"/>
  <c r="G154" i="17" s="1"/>
  <c r="H154" i="17" s="1"/>
  <c r="I154" i="17" s="1"/>
  <c r="J154" i="17" s="1"/>
  <c r="K154" i="17" s="1"/>
  <c r="L154" i="17" s="1"/>
  <c r="M154" i="17" s="1"/>
  <c r="N154" i="17" s="1"/>
  <c r="O154" i="17" s="1"/>
  <c r="P154" i="17" s="1"/>
  <c r="Q154" i="17" s="1"/>
  <c r="R154" i="17" s="1"/>
  <c r="S154" i="17" s="1"/>
  <c r="T154" i="17" s="1"/>
  <c r="U154" i="17" s="1"/>
  <c r="V154" i="17" s="1"/>
  <c r="W154" i="17" s="1"/>
  <c r="X218" i="17"/>
  <c r="AS33" i="16"/>
  <c r="AR35" i="16"/>
  <c r="AL19" i="23"/>
  <c r="I112" i="23"/>
  <c r="X213" i="17"/>
  <c r="X203" i="17"/>
  <c r="J91" i="17"/>
  <c r="F171" i="17" s="1"/>
  <c r="E172" i="17"/>
  <c r="E166" i="17"/>
  <c r="E169" i="17"/>
  <c r="X19" i="23"/>
  <c r="P19" i="23" s="1"/>
  <c r="S19" i="23" s="1"/>
  <c r="H68" i="16"/>
  <c r="P71" i="23"/>
  <c r="AS28" i="16"/>
  <c r="AT35" i="16"/>
  <c r="AU34" i="16" s="1"/>
  <c r="P75" i="23"/>
  <c r="P70" i="23"/>
  <c r="P72" i="23"/>
  <c r="P73" i="23"/>
  <c r="P74" i="23"/>
  <c r="P69" i="23"/>
  <c r="P68" i="23"/>
  <c r="I105" i="23"/>
  <c r="AL12" i="23"/>
  <c r="AK12" i="23"/>
  <c r="K100" i="23"/>
  <c r="K120" i="23" s="1"/>
  <c r="AK7" i="23"/>
  <c r="AL7" i="23"/>
  <c r="AL13" i="23"/>
  <c r="AK13" i="23"/>
  <c r="I106" i="23"/>
  <c r="AL15" i="23"/>
  <c r="I108" i="23"/>
  <c r="AK15" i="23"/>
  <c r="AK14" i="23"/>
  <c r="N14" i="23" s="1"/>
  <c r="I107" i="23"/>
  <c r="AL14" i="23"/>
  <c r="M317" i="23"/>
  <c r="M337" i="23"/>
  <c r="O94" i="23"/>
  <c r="N95" i="23"/>
  <c r="P68" i="16"/>
  <c r="M68" i="16"/>
  <c r="AU33" i="16"/>
  <c r="Y218" i="17"/>
  <c r="Y203" i="17"/>
  <c r="Y213" i="17"/>
  <c r="AA73" i="17" l="1"/>
  <c r="K96" i="17"/>
  <c r="J174" i="17"/>
  <c r="I96" i="17"/>
  <c r="J168" i="17"/>
  <c r="H93" i="17"/>
  <c r="G165" i="17"/>
  <c r="G92" i="17"/>
  <c r="G162" i="17" s="1"/>
  <c r="D93" i="17"/>
  <c r="H153" i="17" s="1"/>
  <c r="G215" i="17"/>
  <c r="X73" i="17"/>
  <c r="G210" i="17"/>
  <c r="AB73" i="17"/>
  <c r="G195" i="17"/>
  <c r="Z73" i="17"/>
  <c r="G205" i="17"/>
  <c r="Y73" i="17"/>
  <c r="Z206" i="17"/>
  <c r="AA206" i="17" s="1"/>
  <c r="AB206" i="17" s="1"/>
  <c r="AC206" i="17" s="1"/>
  <c r="AD206" i="17" s="1"/>
  <c r="AE206" i="17" s="1"/>
  <c r="AF206" i="17" s="1"/>
  <c r="AG206" i="17" s="1"/>
  <c r="AH206" i="17" s="1"/>
  <c r="AI206" i="17" s="1"/>
  <c r="AJ206" i="17" s="1"/>
  <c r="AK206" i="17" s="1"/>
  <c r="AS35" i="16"/>
  <c r="F91" i="17"/>
  <c r="F159" i="17" s="1"/>
  <c r="X198" i="17"/>
  <c r="E91" i="17"/>
  <c r="J92" i="17"/>
  <c r="G171" i="17" s="1"/>
  <c r="F166" i="17"/>
  <c r="G166" i="17" s="1"/>
  <c r="F169" i="17"/>
  <c r="G169" i="17" s="1"/>
  <c r="AU27" i="16"/>
  <c r="AU28" i="16"/>
  <c r="F172" i="17"/>
  <c r="G172" i="17" s="1"/>
  <c r="AT26" i="16"/>
  <c r="N15" i="23"/>
  <c r="N13" i="23"/>
  <c r="N12" i="23"/>
  <c r="AL6" i="23"/>
  <c r="H351" i="23"/>
  <c r="X14" i="23"/>
  <c r="P14" i="23" s="1"/>
  <c r="S14" i="23" s="1"/>
  <c r="AK6" i="23"/>
  <c r="AK5" i="23" s="1"/>
  <c r="N7" i="23"/>
  <c r="H67" i="16" s="1"/>
  <c r="F136" i="23"/>
  <c r="F137" i="23"/>
  <c r="F141" i="23"/>
  <c r="F131" i="23"/>
  <c r="F147" i="23"/>
  <c r="F145" i="23"/>
  <c r="F132" i="23"/>
  <c r="F142" i="23"/>
  <c r="F129" i="23"/>
  <c r="F140" i="23"/>
  <c r="F133" i="23"/>
  <c r="F148" i="23"/>
  <c r="F146" i="23"/>
  <c r="F144" i="23"/>
  <c r="F143" i="23"/>
  <c r="F135" i="23"/>
  <c r="F139" i="23"/>
  <c r="F138" i="23"/>
  <c r="F134" i="23"/>
  <c r="I120" i="23"/>
  <c r="F130" i="23"/>
  <c r="N337" i="23"/>
  <c r="N317" i="23"/>
  <c r="P94" i="23"/>
  <c r="O95" i="23"/>
  <c r="Z218" i="17"/>
  <c r="Z203" i="17"/>
  <c r="Z213" i="17"/>
  <c r="K97" i="17" l="1"/>
  <c r="K174" i="17"/>
  <c r="I97" i="17"/>
  <c r="K168" i="17"/>
  <c r="H94" i="17"/>
  <c r="H165" i="17"/>
  <c r="G93" i="17"/>
  <c r="H162" i="17" s="1"/>
  <c r="E92" i="17"/>
  <c r="F156" i="17"/>
  <c r="D94" i="17"/>
  <c r="I153" i="17" s="1"/>
  <c r="H169" i="17"/>
  <c r="I169" i="17" s="1"/>
  <c r="J169" i="17" s="1"/>
  <c r="K169" i="17" s="1"/>
  <c r="H172" i="17"/>
  <c r="I172" i="17" s="1"/>
  <c r="J172" i="17" s="1"/>
  <c r="K172" i="17" s="1"/>
  <c r="H166" i="17"/>
  <c r="I166" i="17" s="1"/>
  <c r="J166" i="17" s="1"/>
  <c r="K166" i="17" s="1"/>
  <c r="X197" i="17"/>
  <c r="Y197" i="17" s="1"/>
  <c r="Z197" i="17" s="1"/>
  <c r="AA197" i="17" s="1"/>
  <c r="AB197" i="17" s="1"/>
  <c r="AC197" i="17" s="1"/>
  <c r="AD197" i="17" s="1"/>
  <c r="AE197" i="17" s="1"/>
  <c r="AF197" i="17" s="1"/>
  <c r="AG197" i="17" s="1"/>
  <c r="AH197" i="17" s="1"/>
  <c r="AI197" i="17" s="1"/>
  <c r="AJ197" i="17" s="1"/>
  <c r="AK197" i="17" s="1"/>
  <c r="F92" i="17"/>
  <c r="G159" i="17" s="1"/>
  <c r="Y198" i="17"/>
  <c r="X208" i="17"/>
  <c r="X202" i="17"/>
  <c r="Y202" i="17" s="1"/>
  <c r="Z202" i="17" s="1"/>
  <c r="AA202" i="17" s="1"/>
  <c r="AB202" i="17" s="1"/>
  <c r="AC202" i="17" s="1"/>
  <c r="AD202" i="17" s="1"/>
  <c r="AE202" i="17" s="1"/>
  <c r="AF202" i="17" s="1"/>
  <c r="AG202" i="17" s="1"/>
  <c r="AH202" i="17" s="1"/>
  <c r="AI202" i="17" s="1"/>
  <c r="AJ202" i="17" s="1"/>
  <c r="AK202" i="17" s="1"/>
  <c r="X207" i="17"/>
  <c r="Y207" i="17" s="1"/>
  <c r="Z207" i="17" s="1"/>
  <c r="AA207" i="17" s="1"/>
  <c r="AB207" i="17" s="1"/>
  <c r="AC207" i="17" s="1"/>
  <c r="AD207" i="17" s="1"/>
  <c r="AE207" i="17" s="1"/>
  <c r="AF207" i="17" s="1"/>
  <c r="AG207" i="17" s="1"/>
  <c r="AH207" i="17" s="1"/>
  <c r="AI207" i="17" s="1"/>
  <c r="AJ207" i="17" s="1"/>
  <c r="AK207" i="17" s="1"/>
  <c r="X212" i="17"/>
  <c r="Y212" i="17" s="1"/>
  <c r="Z212" i="17" s="1"/>
  <c r="AA212" i="17" s="1"/>
  <c r="AB212" i="17" s="1"/>
  <c r="AC212" i="17" s="1"/>
  <c r="AD212" i="17" s="1"/>
  <c r="AE212" i="17" s="1"/>
  <c r="AF212" i="17" s="1"/>
  <c r="AG212" i="17" s="1"/>
  <c r="AH212" i="17" s="1"/>
  <c r="AI212" i="17" s="1"/>
  <c r="AJ212" i="17" s="1"/>
  <c r="AK212" i="17" s="1"/>
  <c r="X216" i="17"/>
  <c r="Y216" i="17" s="1"/>
  <c r="Z216" i="17" s="1"/>
  <c r="AA216" i="17" s="1"/>
  <c r="AB216" i="17" s="1"/>
  <c r="AC216" i="17" s="1"/>
  <c r="AD216" i="17" s="1"/>
  <c r="AE216" i="17" s="1"/>
  <c r="AF216" i="17" s="1"/>
  <c r="AG216" i="17" s="1"/>
  <c r="AH216" i="17" s="1"/>
  <c r="AI216" i="17" s="1"/>
  <c r="AJ216" i="17" s="1"/>
  <c r="AK216" i="17" s="1"/>
  <c r="X217" i="17"/>
  <c r="Y217" i="17" s="1"/>
  <c r="Z217" i="17" s="1"/>
  <c r="AA217" i="17" s="1"/>
  <c r="AB217" i="17" s="1"/>
  <c r="AC217" i="17" s="1"/>
  <c r="AD217" i="17" s="1"/>
  <c r="AE217" i="17" s="1"/>
  <c r="AF217" i="17" s="1"/>
  <c r="AG217" i="17" s="1"/>
  <c r="AH217" i="17" s="1"/>
  <c r="AI217" i="17" s="1"/>
  <c r="AJ217" i="17" s="1"/>
  <c r="AK217" i="17" s="1"/>
  <c r="J93" i="17"/>
  <c r="H171" i="17" s="1"/>
  <c r="X100" i="16"/>
  <c r="M67" i="16"/>
  <c r="AA140" i="16" s="1"/>
  <c r="P67" i="16"/>
  <c r="AB140" i="16" s="1"/>
  <c r="H66" i="16"/>
  <c r="X99" i="16" s="1"/>
  <c r="H65" i="16"/>
  <c r="X98" i="16" s="1"/>
  <c r="AM7" i="23"/>
  <c r="AM19" i="23"/>
  <c r="AM13" i="23"/>
  <c r="F206" i="23"/>
  <c r="F235" i="23" s="1"/>
  <c r="F264" i="23"/>
  <c r="F293" i="23" s="1"/>
  <c r="F247" i="23"/>
  <c r="F276" i="23" s="1"/>
  <c r="F189" i="23"/>
  <c r="F218" i="23" s="1"/>
  <c r="F201" i="23"/>
  <c r="F230" i="23" s="1"/>
  <c r="F259" i="23"/>
  <c r="F288" i="23" s="1"/>
  <c r="F248" i="23"/>
  <c r="F277" i="23" s="1"/>
  <c r="F190" i="23"/>
  <c r="F219" i="23" s="1"/>
  <c r="F254" i="23"/>
  <c r="F283" i="23" s="1"/>
  <c r="F196" i="23"/>
  <c r="F225" i="23" s="1"/>
  <c r="F260" i="23"/>
  <c r="F289" i="23" s="1"/>
  <c r="F202" i="23"/>
  <c r="F231" i="23" s="1"/>
  <c r="F198" i="23"/>
  <c r="F227" i="23" s="1"/>
  <c r="F256" i="23"/>
  <c r="F285" i="23" s="1"/>
  <c r="F261" i="23"/>
  <c r="F290" i="23" s="1"/>
  <c r="F203" i="23"/>
  <c r="F232" i="23" s="1"/>
  <c r="F195" i="23"/>
  <c r="F224" i="23" s="1"/>
  <c r="F253" i="23"/>
  <c r="F282" i="23" s="1"/>
  <c r="AM14" i="23"/>
  <c r="AM17" i="23"/>
  <c r="AM8" i="23"/>
  <c r="AM10" i="23"/>
  <c r="AM11" i="23"/>
  <c r="AM9" i="23"/>
  <c r="AM16" i="23"/>
  <c r="AM18" i="23"/>
  <c r="AM12" i="23"/>
  <c r="AM15" i="23"/>
  <c r="F251" i="23"/>
  <c r="F280" i="23" s="1"/>
  <c r="F193" i="23"/>
  <c r="F222" i="23" s="1"/>
  <c r="F200" i="23"/>
  <c r="F229" i="23" s="1"/>
  <c r="F258" i="23"/>
  <c r="F287" i="23" s="1"/>
  <c r="F250" i="23"/>
  <c r="F279" i="23" s="1"/>
  <c r="F192" i="23"/>
  <c r="F221" i="23" s="1"/>
  <c r="F249" i="23"/>
  <c r="F278" i="23" s="1"/>
  <c r="F191" i="23"/>
  <c r="F220" i="23" s="1"/>
  <c r="F199" i="23"/>
  <c r="F228" i="23" s="1"/>
  <c r="F257" i="23"/>
  <c r="F286" i="23" s="1"/>
  <c r="X7" i="23"/>
  <c r="P7" i="23" s="1"/>
  <c r="S7" i="23" s="1"/>
  <c r="N6" i="23"/>
  <c r="H344" i="23"/>
  <c r="H350" i="23"/>
  <c r="X13" i="23"/>
  <c r="P13" i="23" s="1"/>
  <c r="S13" i="23" s="1"/>
  <c r="F246" i="23"/>
  <c r="F275" i="23" s="1"/>
  <c r="F188" i="23"/>
  <c r="F217" i="23" s="1"/>
  <c r="F197" i="23"/>
  <c r="F226" i="23" s="1"/>
  <c r="F255" i="23"/>
  <c r="F284" i="23" s="1"/>
  <c r="F262" i="23"/>
  <c r="F291" i="23" s="1"/>
  <c r="F204" i="23"/>
  <c r="F233" i="23" s="1"/>
  <c r="F152" i="23"/>
  <c r="F151" i="23"/>
  <c r="F150" i="23"/>
  <c r="F149" i="23"/>
  <c r="F336" i="23" s="1"/>
  <c r="F338" i="23" s="1"/>
  <c r="F339" i="23" s="1"/>
  <c r="F245" i="23"/>
  <c r="F187" i="23"/>
  <c r="F153" i="23"/>
  <c r="F263" i="23"/>
  <c r="F292" i="23" s="1"/>
  <c r="F205" i="23"/>
  <c r="F234" i="23" s="1"/>
  <c r="F194" i="23"/>
  <c r="F223" i="23" s="1"/>
  <c r="F252" i="23"/>
  <c r="F281" i="23" s="1"/>
  <c r="X12" i="23"/>
  <c r="P12" i="23" s="1"/>
  <c r="S12" i="23" s="1"/>
  <c r="H349" i="23"/>
  <c r="H352" i="23"/>
  <c r="X15" i="23"/>
  <c r="P15" i="23" s="1"/>
  <c r="S15" i="23" s="1"/>
  <c r="O317" i="23"/>
  <c r="O337" i="23"/>
  <c r="P95" i="23"/>
  <c r="Q94" i="23"/>
  <c r="Y208" i="17"/>
  <c r="AA218" i="17"/>
  <c r="AA213" i="17"/>
  <c r="AA203" i="17" l="1"/>
  <c r="K98" i="17"/>
  <c r="L174" i="17"/>
  <c r="I98" i="17"/>
  <c r="L168" i="17"/>
  <c r="H95" i="17"/>
  <c r="I165" i="17"/>
  <c r="G94" i="17"/>
  <c r="I162" i="17" s="1"/>
  <c r="E93" i="17"/>
  <c r="G156" i="17"/>
  <c r="D95" i="17"/>
  <c r="J153" i="17" s="1"/>
  <c r="L166" i="17"/>
  <c r="AF236" i="17"/>
  <c r="L172" i="17"/>
  <c r="L169" i="17"/>
  <c r="F93" i="17"/>
  <c r="H159" i="17" s="1"/>
  <c r="Z198" i="17"/>
  <c r="J94" i="17"/>
  <c r="I171" i="17" s="1"/>
  <c r="AM6" i="23"/>
  <c r="F326" i="23"/>
  <c r="F328" i="23" s="1"/>
  <c r="F329" i="23" s="1"/>
  <c r="F306" i="23"/>
  <c r="F308" i="23" s="1"/>
  <c r="F309" i="23" s="1"/>
  <c r="F316" i="23"/>
  <c r="F318" i="23" s="1"/>
  <c r="F319" i="23" s="1"/>
  <c r="H354" i="23"/>
  <c r="E344" i="23" s="1"/>
  <c r="M66" i="16"/>
  <c r="AA139" i="16" s="1"/>
  <c r="P66" i="16"/>
  <c r="AB139" i="16" s="1"/>
  <c r="F210" i="23"/>
  <c r="F207" i="23"/>
  <c r="F216" i="23"/>
  <c r="F211" i="23"/>
  <c r="F208" i="23"/>
  <c r="F209" i="23"/>
  <c r="X6" i="23"/>
  <c r="H64" i="16"/>
  <c r="X101" i="16" s="1"/>
  <c r="F267" i="23"/>
  <c r="F265" i="23"/>
  <c r="F269" i="23"/>
  <c r="F274" i="23"/>
  <c r="F266" i="23"/>
  <c r="F268" i="23"/>
  <c r="R94" i="23"/>
  <c r="Q95" i="23"/>
  <c r="P337" i="23"/>
  <c r="P317" i="23"/>
  <c r="Z208" i="17"/>
  <c r="AB218" i="17"/>
  <c r="AB213" i="17"/>
  <c r="AB203" i="17" l="1"/>
  <c r="K99" i="17"/>
  <c r="M174" i="17"/>
  <c r="I99" i="17"/>
  <c r="M168" i="17"/>
  <c r="H96" i="17"/>
  <c r="J165" i="17"/>
  <c r="G95" i="17"/>
  <c r="J162" i="17" s="1"/>
  <c r="E94" i="17"/>
  <c r="H156" i="17"/>
  <c r="D96" i="17"/>
  <c r="K153" i="17" s="1"/>
  <c r="M169" i="17"/>
  <c r="AG236" i="17"/>
  <c r="M172" i="17"/>
  <c r="M166" i="17"/>
  <c r="F94" i="17"/>
  <c r="I159" i="17" s="1"/>
  <c r="AA198" i="17"/>
  <c r="J95" i="17"/>
  <c r="J171" i="17" s="1"/>
  <c r="E349" i="23"/>
  <c r="E350" i="23"/>
  <c r="F297" i="23"/>
  <c r="F295" i="23"/>
  <c r="F294" i="23"/>
  <c r="F298" i="23"/>
  <c r="F296" i="23"/>
  <c r="P6" i="23"/>
  <c r="M64" i="16" s="1"/>
  <c r="AA141" i="16" s="1"/>
  <c r="F240" i="23"/>
  <c r="F239" i="23"/>
  <c r="F236" i="23"/>
  <c r="F237" i="23"/>
  <c r="F238" i="23"/>
  <c r="E345" i="23"/>
  <c r="E347" i="23"/>
  <c r="E353" i="23"/>
  <c r="E348" i="23"/>
  <c r="E346" i="23"/>
  <c r="E351" i="23"/>
  <c r="E352" i="23"/>
  <c r="Q337" i="23"/>
  <c r="Q317" i="23"/>
  <c r="S94" i="23"/>
  <c r="R95" i="23"/>
  <c r="AA208" i="17"/>
  <c r="AC218" i="17"/>
  <c r="AC213" i="17"/>
  <c r="AC203" i="17" l="1"/>
  <c r="K100" i="17"/>
  <c r="N174" i="17"/>
  <c r="I100" i="17"/>
  <c r="N168" i="17"/>
  <c r="H97" i="17"/>
  <c r="K165" i="17"/>
  <c r="G96" i="17"/>
  <c r="K162" i="17" s="1"/>
  <c r="E95" i="17"/>
  <c r="I156" i="17"/>
  <c r="D97" i="17"/>
  <c r="L153" i="17" s="1"/>
  <c r="N169" i="17"/>
  <c r="N172" i="17"/>
  <c r="N166" i="17"/>
  <c r="AH236" i="17"/>
  <c r="F95" i="17"/>
  <c r="J159" i="17" s="1"/>
  <c r="AB198" i="17"/>
  <c r="J96" i="17"/>
  <c r="K171" i="17" s="1"/>
  <c r="S6" i="23"/>
  <c r="P64" i="16" s="1"/>
  <c r="AB141" i="16" s="1"/>
  <c r="R337" i="23"/>
  <c r="R317" i="23"/>
  <c r="T94" i="23"/>
  <c r="S95" i="23"/>
  <c r="AB208" i="17"/>
  <c r="AD218" i="17"/>
  <c r="AD213" i="17"/>
  <c r="AD203" i="17" l="1"/>
  <c r="K101" i="17"/>
  <c r="O174" i="17"/>
  <c r="I101" i="17"/>
  <c r="O168" i="17"/>
  <c r="H98" i="17"/>
  <c r="L165" i="17"/>
  <c r="G97" i="17"/>
  <c r="L162" i="17" s="1"/>
  <c r="E96" i="17"/>
  <c r="J156" i="17"/>
  <c r="D98" i="17"/>
  <c r="M153" i="17" s="1"/>
  <c r="O166" i="17"/>
  <c r="O172" i="17"/>
  <c r="AI236" i="17"/>
  <c r="O169" i="17"/>
  <c r="F96" i="17"/>
  <c r="K159" i="17" s="1"/>
  <c r="AC198" i="17"/>
  <c r="J97" i="17"/>
  <c r="L171" i="17" s="1"/>
  <c r="S317" i="23"/>
  <c r="S337" i="23"/>
  <c r="T95" i="23"/>
  <c r="U94" i="23"/>
  <c r="AC208" i="17"/>
  <c r="AE218" i="17"/>
  <c r="AE213" i="17"/>
  <c r="AE203" i="17" l="1"/>
  <c r="K102" i="17"/>
  <c r="P174" i="17"/>
  <c r="I102" i="17"/>
  <c r="P168" i="17"/>
  <c r="H99" i="17"/>
  <c r="M165" i="17"/>
  <c r="G98" i="17"/>
  <c r="M162" i="17" s="1"/>
  <c r="E97" i="17"/>
  <c r="K156" i="17"/>
  <c r="D99" i="17"/>
  <c r="N153" i="17" s="1"/>
  <c r="P169" i="17"/>
  <c r="P166" i="17"/>
  <c r="AJ236" i="17"/>
  <c r="P172" i="17"/>
  <c r="F97" i="17"/>
  <c r="L159" i="17" s="1"/>
  <c r="AD198" i="17"/>
  <c r="J98" i="17"/>
  <c r="M171" i="17" s="1"/>
  <c r="V94" i="23"/>
  <c r="U95" i="23"/>
  <c r="T337" i="23"/>
  <c r="T317" i="23"/>
  <c r="AD208" i="17"/>
  <c r="AF218" i="17"/>
  <c r="AF213" i="17"/>
  <c r="AF203" i="17" l="1"/>
  <c r="K103" i="17"/>
  <c r="Q174" i="17"/>
  <c r="I103" i="17"/>
  <c r="Q168" i="17"/>
  <c r="H100" i="17"/>
  <c r="N165" i="17"/>
  <c r="G99" i="17"/>
  <c r="N162" i="17" s="1"/>
  <c r="E98" i="17"/>
  <c r="L156" i="17"/>
  <c r="D100" i="17"/>
  <c r="O153" i="17" s="1"/>
  <c r="Q169" i="17"/>
  <c r="Q172" i="17"/>
  <c r="Q166" i="17"/>
  <c r="F98" i="17"/>
  <c r="M159" i="17" s="1"/>
  <c r="AE198" i="17"/>
  <c r="J99" i="17"/>
  <c r="N171" i="17" s="1"/>
  <c r="U337" i="23"/>
  <c r="U317" i="23"/>
  <c r="W94" i="23"/>
  <c r="V95" i="23"/>
  <c r="AE208" i="17"/>
  <c r="AG218" i="17"/>
  <c r="AG213" i="17"/>
  <c r="AG203" i="17" l="1"/>
  <c r="K104" i="17"/>
  <c r="R174" i="17"/>
  <c r="I104" i="17"/>
  <c r="R168" i="17"/>
  <c r="H101" i="17"/>
  <c r="O165" i="17"/>
  <c r="G100" i="17"/>
  <c r="O162" i="17" s="1"/>
  <c r="E99" i="17"/>
  <c r="M156" i="17"/>
  <c r="D101" i="17"/>
  <c r="P153" i="17" s="1"/>
  <c r="R169" i="17"/>
  <c r="R172" i="17"/>
  <c r="R166" i="17"/>
  <c r="F99" i="17"/>
  <c r="N159" i="17" s="1"/>
  <c r="AF198" i="17"/>
  <c r="J100" i="17"/>
  <c r="O171" i="17" s="1"/>
  <c r="V317" i="23"/>
  <c r="V337" i="23"/>
  <c r="X94" i="23"/>
  <c r="W95" i="23"/>
  <c r="AF208" i="17"/>
  <c r="AH218" i="17"/>
  <c r="AH203" i="17"/>
  <c r="AH213" i="17"/>
  <c r="K105" i="17" l="1"/>
  <c r="S174" i="17"/>
  <c r="I105" i="17"/>
  <c r="S168" i="17"/>
  <c r="H102" i="17"/>
  <c r="P165" i="17"/>
  <c r="G101" i="17"/>
  <c r="P162" i="17" s="1"/>
  <c r="E100" i="17"/>
  <c r="N156" i="17"/>
  <c r="D102" i="17"/>
  <c r="Q153" i="17" s="1"/>
  <c r="S166" i="17"/>
  <c r="T166" i="17" s="1"/>
  <c r="U166" i="17" s="1"/>
  <c r="V166" i="17" s="1"/>
  <c r="W166" i="17" s="1"/>
  <c r="S172" i="17"/>
  <c r="T172" i="17" s="1"/>
  <c r="U172" i="17" s="1"/>
  <c r="V172" i="17" s="1"/>
  <c r="W172" i="17" s="1"/>
  <c r="S169" i="17"/>
  <c r="T169" i="17" s="1"/>
  <c r="U169" i="17" s="1"/>
  <c r="V169" i="17" s="1"/>
  <c r="W169" i="17" s="1"/>
  <c r="F100" i="17"/>
  <c r="O159" i="17" s="1"/>
  <c r="AG198" i="17"/>
  <c r="J101" i="17"/>
  <c r="P171" i="17" s="1"/>
  <c r="W317" i="23"/>
  <c r="W337" i="23"/>
  <c r="X95" i="23"/>
  <c r="Y94" i="23"/>
  <c r="Y95" i="23" s="1"/>
  <c r="AG208" i="17"/>
  <c r="AI218" i="17"/>
  <c r="AI213" i="17"/>
  <c r="AI203" i="17" l="1"/>
  <c r="K106" i="17"/>
  <c r="T174" i="17"/>
  <c r="I106" i="17"/>
  <c r="T168" i="17"/>
  <c r="H103" i="17"/>
  <c r="Q165" i="17"/>
  <c r="G102" i="17"/>
  <c r="Q162" i="17" s="1"/>
  <c r="E101" i="17"/>
  <c r="O156" i="17"/>
  <c r="D103" i="17"/>
  <c r="R153" i="17" s="1"/>
  <c r="F101" i="17"/>
  <c r="P159" i="17" s="1"/>
  <c r="AH198" i="17"/>
  <c r="J102" i="17"/>
  <c r="Q171" i="17" s="1"/>
  <c r="Y317" i="23"/>
  <c r="Y337" i="23"/>
  <c r="X337" i="23"/>
  <c r="X317" i="23"/>
  <c r="AH208" i="17"/>
  <c r="AJ218" i="17"/>
  <c r="AJ213" i="17"/>
  <c r="K107" i="17" l="1"/>
  <c r="U174" i="17"/>
  <c r="I107" i="17"/>
  <c r="U168" i="17"/>
  <c r="AJ203" i="17"/>
  <c r="H104" i="17"/>
  <c r="R165" i="17"/>
  <c r="G103" i="17"/>
  <c r="R162" i="17" s="1"/>
  <c r="E102" i="17"/>
  <c r="P156" i="17"/>
  <c r="D104" i="17"/>
  <c r="S153" i="17" s="1"/>
  <c r="F102" i="17"/>
  <c r="Q159" i="17" s="1"/>
  <c r="AI198" i="17"/>
  <c r="J103" i="17"/>
  <c r="R171" i="17" s="1"/>
  <c r="U24" i="23"/>
  <c r="I361" i="23" s="1"/>
  <c r="J361" i="23" s="1"/>
  <c r="T25" i="23"/>
  <c r="T24" i="23"/>
  <c r="T23" i="23"/>
  <c r="U23" i="23"/>
  <c r="I360" i="23" s="1"/>
  <c r="J360" i="23" s="1"/>
  <c r="U20" i="23"/>
  <c r="I357" i="23" s="1"/>
  <c r="J357" i="23" s="1"/>
  <c r="T20" i="23"/>
  <c r="R21" i="23"/>
  <c r="Q21" i="23"/>
  <c r="K358" i="23" s="1"/>
  <c r="U22" i="23"/>
  <c r="I359" i="23" s="1"/>
  <c r="J359" i="23" s="1"/>
  <c r="T22" i="23"/>
  <c r="AI208" i="17"/>
  <c r="AK218" i="17"/>
  <c r="AK213" i="17"/>
  <c r="K108" i="17" l="1"/>
  <c r="W174" i="17" s="1"/>
  <c r="V174" i="17"/>
  <c r="AK203" i="17"/>
  <c r="I108" i="17"/>
  <c r="W168" i="17" s="1"/>
  <c r="V168" i="17"/>
  <c r="H105" i="17"/>
  <c r="S165" i="17"/>
  <c r="G104" i="17"/>
  <c r="S162" i="17" s="1"/>
  <c r="E103" i="17"/>
  <c r="Q156" i="17"/>
  <c r="D105" i="17"/>
  <c r="T153" i="17" s="1"/>
  <c r="F103" i="17"/>
  <c r="R159" i="17" s="1"/>
  <c r="AJ198" i="17"/>
  <c r="J104" i="17"/>
  <c r="S171" i="17" s="1"/>
  <c r="Q25" i="23"/>
  <c r="K362" i="23" s="1"/>
  <c r="R25" i="23"/>
  <c r="R24" i="23"/>
  <c r="Q24" i="23"/>
  <c r="K361" i="23" s="1"/>
  <c r="R23" i="23"/>
  <c r="Q23" i="23"/>
  <c r="K360" i="23" s="1"/>
  <c r="R22" i="23"/>
  <c r="Q22" i="23"/>
  <c r="K359" i="23" s="1"/>
  <c r="R20" i="23"/>
  <c r="Q20" i="23"/>
  <c r="K357" i="23" s="1"/>
  <c r="U21" i="23"/>
  <c r="I358" i="23" s="1"/>
  <c r="J358" i="23" s="1"/>
  <c r="T21" i="23"/>
  <c r="AJ208" i="17"/>
  <c r="H106" i="17" l="1"/>
  <c r="T165" i="17"/>
  <c r="G105" i="17"/>
  <c r="T162" i="17" s="1"/>
  <c r="E104" i="17"/>
  <c r="R156" i="17"/>
  <c r="D106" i="17"/>
  <c r="U153" i="17" s="1"/>
  <c r="F104" i="17"/>
  <c r="S159" i="17" s="1"/>
  <c r="AK198" i="17"/>
  <c r="J105" i="17"/>
  <c r="T171" i="17" s="1"/>
  <c r="AK208" i="17"/>
  <c r="H107" i="17" l="1"/>
  <c r="U165" i="17"/>
  <c r="G106" i="17"/>
  <c r="U162" i="17" s="1"/>
  <c r="E105" i="17"/>
  <c r="S156" i="17"/>
  <c r="D107" i="17"/>
  <c r="F105" i="17"/>
  <c r="T159" i="17" s="1"/>
  <c r="J106" i="17"/>
  <c r="U171" i="17" s="1"/>
  <c r="H108" i="17" l="1"/>
  <c r="W165" i="17" s="1"/>
  <c r="V165" i="17"/>
  <c r="G107" i="17"/>
  <c r="V162" i="17" s="1"/>
  <c r="E106" i="17"/>
  <c r="T156" i="17"/>
  <c r="D108" i="17"/>
  <c r="W153" i="17" s="1"/>
  <c r="V153" i="17"/>
  <c r="F106" i="17"/>
  <c r="U159" i="17" s="1"/>
  <c r="J107" i="17"/>
  <c r="J108" i="17" l="1"/>
  <c r="W171" i="17" s="1"/>
  <c r="V171" i="17"/>
  <c r="G108" i="17"/>
  <c r="W162" i="17" s="1"/>
  <c r="E107" i="17"/>
  <c r="U156" i="17"/>
  <c r="F107" i="17"/>
  <c r="F108" i="17" l="1"/>
  <c r="W159" i="17" s="1"/>
  <c r="V159" i="17"/>
  <c r="E108" i="17"/>
  <c r="W156" i="17" s="1"/>
  <c r="V156" i="17"/>
  <c r="Y138" i="16"/>
  <c r="X138" i="16" l="1"/>
  <c r="P65" i="16"/>
  <c r="AB138" i="16" s="1"/>
  <c r="M65" i="16"/>
  <c r="AA138" i="16" s="1"/>
  <c r="U25" i="23"/>
  <c r="I362" i="23" s="1"/>
  <c r="J362" i="23" s="1"/>
  <c r="AA191" i="17"/>
  <c r="AA235" i="17"/>
  <c r="AA237" i="17" s="1"/>
  <c r="AA234" i="17"/>
  <c r="AA241" i="17" s="1"/>
  <c r="X233" i="17"/>
  <c r="X191" i="17" s="1"/>
  <c r="AA236" i="17" l="1"/>
  <c r="AB191" i="17"/>
  <c r="AB235" i="17"/>
  <c r="AB237" i="17" s="1"/>
  <c r="Y233" i="17"/>
  <c r="X235" i="17"/>
  <c r="X237" i="17" s="1"/>
  <c r="AB234" i="17"/>
  <c r="AB241" i="17" s="1"/>
  <c r="X234" i="17"/>
  <c r="X201" i="17" l="1"/>
  <c r="E160" i="17"/>
  <c r="X241" i="17"/>
  <c r="X236" i="17"/>
  <c r="AB236" i="17"/>
  <c r="Y191" i="17"/>
  <c r="Y235" i="17"/>
  <c r="Y237" i="17" s="1"/>
  <c r="Y234" i="17"/>
  <c r="Y241" i="17" s="1"/>
  <c r="Z233" i="17"/>
  <c r="AC191" i="17"/>
  <c r="AC235" i="17"/>
  <c r="AC237" i="17" s="1"/>
  <c r="AC234" i="17"/>
  <c r="AC241" i="17" s="1"/>
  <c r="Y201" i="17" l="1"/>
  <c r="X196" i="17"/>
  <c r="E157" i="17"/>
  <c r="F160" i="17"/>
  <c r="X211" i="17"/>
  <c r="Y211" i="17" s="1"/>
  <c r="E163" i="17"/>
  <c r="F163" i="17" s="1"/>
  <c r="AC236" i="17"/>
  <c r="Y236" i="17"/>
  <c r="AD191" i="17"/>
  <c r="AD235" i="17"/>
  <c r="AD237" i="17" s="1"/>
  <c r="AD234" i="17"/>
  <c r="AD241" i="17" s="1"/>
  <c r="Z191" i="17"/>
  <c r="Z234" i="17"/>
  <c r="Z241" i="17" s="1"/>
  <c r="Z235" i="17"/>
  <c r="Z237" i="17" s="1"/>
  <c r="G163" i="17" l="1"/>
  <c r="H163" i="17" s="1"/>
  <c r="I163" i="17" s="1"/>
  <c r="J163" i="17" s="1"/>
  <c r="K163" i="17" s="1"/>
  <c r="Y196" i="17"/>
  <c r="G160" i="17"/>
  <c r="H160" i="17" s="1"/>
  <c r="I160" i="17" s="1"/>
  <c r="J160" i="17" s="1"/>
  <c r="K160" i="17" s="1"/>
  <c r="F157" i="17"/>
  <c r="Q74" i="23"/>
  <c r="G85" i="23" s="1"/>
  <c r="Q75" i="23"/>
  <c r="Q69" i="23"/>
  <c r="G80" i="23" s="1"/>
  <c r="Q73" i="23"/>
  <c r="G84" i="23" s="1"/>
  <c r="Q68" i="23"/>
  <c r="G79" i="23" s="1"/>
  <c r="Q71" i="23"/>
  <c r="G82" i="23" s="1"/>
  <c r="Q72" i="23"/>
  <c r="G83" i="23" s="1"/>
  <c r="Q70" i="23"/>
  <c r="G81" i="23" s="1"/>
  <c r="Z211" i="17"/>
  <c r="AA211" i="17" s="1"/>
  <c r="AB211" i="17" s="1"/>
  <c r="AC211" i="17" s="1"/>
  <c r="AD211" i="17" s="1"/>
  <c r="Z201" i="17"/>
  <c r="AA201" i="17" s="1"/>
  <c r="AB201" i="17" s="1"/>
  <c r="AC201" i="17" s="1"/>
  <c r="AD201" i="17" s="1"/>
  <c r="Z236" i="17"/>
  <c r="AD236" i="17"/>
  <c r="AE235" i="17"/>
  <c r="AE237" i="17" s="1"/>
  <c r="AE234" i="17"/>
  <c r="AE241" i="17" s="1"/>
  <c r="AE191" i="17"/>
  <c r="L163" i="17" l="1"/>
  <c r="M163" i="17" s="1"/>
  <c r="N163" i="17" s="1"/>
  <c r="O163" i="17" s="1"/>
  <c r="P163" i="17" s="1"/>
  <c r="Q163" i="17" s="1"/>
  <c r="R163" i="17" s="1"/>
  <c r="S163" i="17" s="1"/>
  <c r="T163" i="17" s="1"/>
  <c r="U163" i="17" s="1"/>
  <c r="V163" i="17" s="1"/>
  <c r="W163" i="17" s="1"/>
  <c r="Z196" i="17"/>
  <c r="AA196" i="17" s="1"/>
  <c r="AB196" i="17" s="1"/>
  <c r="AC196" i="17" s="1"/>
  <c r="L160" i="17"/>
  <c r="M160" i="17" s="1"/>
  <c r="N160" i="17" s="1"/>
  <c r="O160" i="17" s="1"/>
  <c r="P160" i="17" s="1"/>
  <c r="Q160" i="17" s="1"/>
  <c r="R160" i="17" s="1"/>
  <c r="S160" i="17" s="1"/>
  <c r="T160" i="17" s="1"/>
  <c r="U160" i="17" s="1"/>
  <c r="V160" i="17" s="1"/>
  <c r="W160" i="17" s="1"/>
  <c r="G157" i="17"/>
  <c r="S71" i="23" s="1"/>
  <c r="R74" i="23"/>
  <c r="H85" i="23" s="1"/>
  <c r="R71" i="23"/>
  <c r="H82" i="23" s="1"/>
  <c r="R68" i="23"/>
  <c r="H79" i="23" s="1"/>
  <c r="R70" i="23"/>
  <c r="H81" i="23" s="1"/>
  <c r="R75" i="23"/>
  <c r="R72" i="23"/>
  <c r="H83" i="23" s="1"/>
  <c r="R73" i="23"/>
  <c r="H84" i="23" s="1"/>
  <c r="R69" i="23"/>
  <c r="H80" i="23" s="1"/>
  <c r="G86" i="23"/>
  <c r="G143" i="23" s="1"/>
  <c r="AD196" i="17"/>
  <c r="AE211" i="17"/>
  <c r="AF211" i="17" s="1"/>
  <c r="AG211" i="17" s="1"/>
  <c r="AH211" i="17" s="1"/>
  <c r="AI211" i="17" s="1"/>
  <c r="AJ211" i="17" s="1"/>
  <c r="AK211" i="17" s="1"/>
  <c r="AE201" i="17"/>
  <c r="AF201" i="17" s="1"/>
  <c r="AG201" i="17" s="1"/>
  <c r="AH201" i="17" s="1"/>
  <c r="AI201" i="17" s="1"/>
  <c r="AJ201" i="17" s="1"/>
  <c r="AK201" i="17" s="1"/>
  <c r="AE236" i="17"/>
  <c r="S69" i="23" l="1"/>
  <c r="I80" i="23" s="1"/>
  <c r="S72" i="23"/>
  <c r="I83" i="23" s="1"/>
  <c r="AE196" i="17"/>
  <c r="AF196" i="17" s="1"/>
  <c r="AG196" i="17" s="1"/>
  <c r="AH196" i="17" s="1"/>
  <c r="AI196" i="17" s="1"/>
  <c r="AJ196" i="17" s="1"/>
  <c r="AK196" i="17" s="1"/>
  <c r="G259" i="23"/>
  <c r="G288" i="23" s="1"/>
  <c r="G201" i="23"/>
  <c r="G230" i="23" s="1"/>
  <c r="G138" i="23"/>
  <c r="G132" i="23"/>
  <c r="G136" i="23"/>
  <c r="G141" i="23"/>
  <c r="G130" i="23"/>
  <c r="G137" i="23"/>
  <c r="G131" i="23"/>
  <c r="G142" i="23"/>
  <c r="G129" i="23"/>
  <c r="G146" i="23"/>
  <c r="I82" i="23"/>
  <c r="H157" i="17"/>
  <c r="S70" i="23"/>
  <c r="I81" i="23" s="1"/>
  <c r="S68" i="23"/>
  <c r="I79" i="23" s="1"/>
  <c r="S73" i="23"/>
  <c r="I84" i="23" s="1"/>
  <c r="S74" i="23"/>
  <c r="I85" i="23" s="1"/>
  <c r="S75" i="23"/>
  <c r="G135" i="23"/>
  <c r="G139" i="23"/>
  <c r="G145" i="23"/>
  <c r="G147" i="23"/>
  <c r="G134" i="23"/>
  <c r="H86" i="23"/>
  <c r="H132" i="23" s="1"/>
  <c r="G140" i="23"/>
  <c r="G133" i="23"/>
  <c r="G148" i="23"/>
  <c r="G144" i="23"/>
  <c r="H148" i="23" l="1"/>
  <c r="H129" i="23"/>
  <c r="H245" i="23" s="1"/>
  <c r="H274" i="23" s="1"/>
  <c r="H146" i="23"/>
  <c r="H144" i="23"/>
  <c r="H135" i="23"/>
  <c r="H138" i="23"/>
  <c r="H141" i="23"/>
  <c r="H145" i="23"/>
  <c r="H140" i="23"/>
  <c r="H133" i="23"/>
  <c r="H190" i="23"/>
  <c r="H219" i="23" s="1"/>
  <c r="H248" i="23"/>
  <c r="H277" i="23" s="1"/>
  <c r="G264" i="23"/>
  <c r="G293" i="23" s="1"/>
  <c r="G206" i="23"/>
  <c r="G235" i="23" s="1"/>
  <c r="G193" i="23"/>
  <c r="G222" i="23" s="1"/>
  <c r="G251" i="23"/>
  <c r="G280" i="23" s="1"/>
  <c r="G204" i="23"/>
  <c r="G233" i="23" s="1"/>
  <c r="G262" i="23"/>
  <c r="G291" i="23" s="1"/>
  <c r="G253" i="23"/>
  <c r="G282" i="23" s="1"/>
  <c r="G195" i="23"/>
  <c r="G224" i="23" s="1"/>
  <c r="G198" i="23"/>
  <c r="G227" i="23" s="1"/>
  <c r="G256" i="23"/>
  <c r="G285" i="23" s="1"/>
  <c r="G261" i="23"/>
  <c r="G290" i="23" s="1"/>
  <c r="G203" i="23"/>
  <c r="G232" i="23" s="1"/>
  <c r="I157" i="17"/>
  <c r="T73" i="23"/>
  <c r="J84" i="23" s="1"/>
  <c r="T69" i="23"/>
  <c r="J80" i="23" s="1"/>
  <c r="T68" i="23"/>
  <c r="J79" i="23" s="1"/>
  <c r="T75" i="23"/>
  <c r="T72" i="23"/>
  <c r="J83" i="23" s="1"/>
  <c r="T74" i="23"/>
  <c r="J85" i="23" s="1"/>
  <c r="T71" i="23"/>
  <c r="J82" i="23" s="1"/>
  <c r="T70" i="23"/>
  <c r="J81" i="23" s="1"/>
  <c r="G258" i="23"/>
  <c r="G287" i="23" s="1"/>
  <c r="G200" i="23"/>
  <c r="G229" i="23" s="1"/>
  <c r="G248" i="23"/>
  <c r="G277" i="23" s="1"/>
  <c r="G190" i="23"/>
  <c r="G219" i="23" s="1"/>
  <c r="G260" i="23"/>
  <c r="G289" i="23" s="1"/>
  <c r="G202" i="23"/>
  <c r="G231" i="23" s="1"/>
  <c r="G197" i="23"/>
  <c r="G226" i="23" s="1"/>
  <c r="G255" i="23"/>
  <c r="G284" i="23" s="1"/>
  <c r="G189" i="23"/>
  <c r="G218" i="23" s="1"/>
  <c r="G247" i="23"/>
  <c r="G276" i="23" s="1"/>
  <c r="G188" i="23"/>
  <c r="G217" i="23" s="1"/>
  <c r="G246" i="23"/>
  <c r="G275" i="23" s="1"/>
  <c r="G254" i="23"/>
  <c r="G283" i="23" s="1"/>
  <c r="G196" i="23"/>
  <c r="G225" i="23" s="1"/>
  <c r="H147" i="23"/>
  <c r="H137" i="23"/>
  <c r="H139" i="23"/>
  <c r="H134" i="23"/>
  <c r="H143" i="23"/>
  <c r="G250" i="23"/>
  <c r="G279" i="23" s="1"/>
  <c r="G192" i="23"/>
  <c r="G221" i="23" s="1"/>
  <c r="G199" i="23"/>
  <c r="G228" i="23" s="1"/>
  <c r="G257" i="23"/>
  <c r="G286" i="23" s="1"/>
  <c r="G249" i="23"/>
  <c r="G278" i="23" s="1"/>
  <c r="G191" i="23"/>
  <c r="G220" i="23" s="1"/>
  <c r="G205" i="23"/>
  <c r="G234" i="23" s="1"/>
  <c r="G263" i="23"/>
  <c r="G292" i="23" s="1"/>
  <c r="G245" i="23"/>
  <c r="G152" i="23"/>
  <c r="G150" i="23"/>
  <c r="G153" i="23"/>
  <c r="G187" i="23"/>
  <c r="G151" i="23"/>
  <c r="G149" i="23"/>
  <c r="G326" i="23" s="1"/>
  <c r="G328" i="23" s="1"/>
  <c r="G329" i="23" s="1"/>
  <c r="I86" i="23"/>
  <c r="I135" i="23" s="1"/>
  <c r="G252" i="23"/>
  <c r="G281" i="23" s="1"/>
  <c r="G194" i="23"/>
  <c r="G223" i="23" s="1"/>
  <c r="H131" i="23"/>
  <c r="H142" i="23"/>
  <c r="H136" i="23"/>
  <c r="H130" i="23"/>
  <c r="H187" i="23" l="1"/>
  <c r="H216" i="23" s="1"/>
  <c r="J86" i="23"/>
  <c r="J144" i="23" s="1"/>
  <c r="J260" i="23" s="1"/>
  <c r="J289" i="23" s="1"/>
  <c r="H203" i="23"/>
  <c r="H232" i="23" s="1"/>
  <c r="H261" i="23"/>
  <c r="H290" i="23" s="1"/>
  <c r="H260" i="23"/>
  <c r="H289" i="23" s="1"/>
  <c r="H202" i="23"/>
  <c r="H231" i="23" s="1"/>
  <c r="H199" i="23"/>
  <c r="H228" i="23" s="1"/>
  <c r="H257" i="23"/>
  <c r="H286" i="23" s="1"/>
  <c r="H262" i="23"/>
  <c r="H291" i="23" s="1"/>
  <c r="H204" i="23"/>
  <c r="H233" i="23" s="1"/>
  <c r="H191" i="23"/>
  <c r="H220" i="23" s="1"/>
  <c r="H249" i="23"/>
  <c r="H278" i="23" s="1"/>
  <c r="H196" i="23"/>
  <c r="H225" i="23" s="1"/>
  <c r="H254" i="23"/>
  <c r="H283" i="23" s="1"/>
  <c r="I143" i="23"/>
  <c r="H198" i="23"/>
  <c r="H227" i="23" s="1"/>
  <c r="H256" i="23"/>
  <c r="H285" i="23" s="1"/>
  <c r="H193" i="23"/>
  <c r="H222" i="23" s="1"/>
  <c r="H251" i="23"/>
  <c r="H280" i="23" s="1"/>
  <c r="H264" i="23"/>
  <c r="H293" i="23" s="1"/>
  <c r="H206" i="23"/>
  <c r="H235" i="23" s="1"/>
  <c r="I193" i="23"/>
  <c r="I222" i="23" s="1"/>
  <c r="I251" i="23"/>
  <c r="I280" i="23" s="1"/>
  <c r="H189" i="23"/>
  <c r="H218" i="23" s="1"/>
  <c r="H247" i="23"/>
  <c r="H276" i="23" s="1"/>
  <c r="H192" i="23"/>
  <c r="H221" i="23" s="1"/>
  <c r="H250" i="23"/>
  <c r="H279" i="23" s="1"/>
  <c r="I131" i="23"/>
  <c r="I140" i="23"/>
  <c r="I139" i="23"/>
  <c r="I138" i="23"/>
  <c r="H188" i="23"/>
  <c r="H149" i="23"/>
  <c r="H336" i="23" s="1"/>
  <c r="H338" i="23" s="1"/>
  <c r="H246" i="23"/>
  <c r="H153" i="23"/>
  <c r="G336" i="23"/>
  <c r="G338" i="23" s="1"/>
  <c r="G339" i="23" s="1"/>
  <c r="G316" i="23"/>
  <c r="G318" i="23" s="1"/>
  <c r="G319" i="23" s="1"/>
  <c r="G306" i="23"/>
  <c r="G308" i="23" s="1"/>
  <c r="G309" i="23" s="1"/>
  <c r="I141" i="23"/>
  <c r="H197" i="23"/>
  <c r="H226" i="23" s="1"/>
  <c r="H255" i="23"/>
  <c r="H284" i="23" s="1"/>
  <c r="I147" i="23"/>
  <c r="J157" i="17"/>
  <c r="U75" i="23"/>
  <c r="U71" i="23"/>
  <c r="K82" i="23" s="1"/>
  <c r="U74" i="23"/>
  <c r="K85" i="23" s="1"/>
  <c r="U69" i="23"/>
  <c r="K80" i="23" s="1"/>
  <c r="U72" i="23"/>
  <c r="K83" i="23" s="1"/>
  <c r="U70" i="23"/>
  <c r="K81" i="23" s="1"/>
  <c r="U73" i="23"/>
  <c r="K84" i="23" s="1"/>
  <c r="U68" i="23"/>
  <c r="K79" i="23" s="1"/>
  <c r="I146" i="23"/>
  <c r="H252" i="23"/>
  <c r="H281" i="23" s="1"/>
  <c r="H194" i="23"/>
  <c r="H223" i="23" s="1"/>
  <c r="I136" i="23"/>
  <c r="H195" i="23"/>
  <c r="H224" i="23" s="1"/>
  <c r="H253" i="23"/>
  <c r="H282" i="23" s="1"/>
  <c r="H152" i="23"/>
  <c r="I132" i="23"/>
  <c r="I145" i="23"/>
  <c r="H200" i="23"/>
  <c r="H229" i="23" s="1"/>
  <c r="H258" i="23"/>
  <c r="H287" i="23" s="1"/>
  <c r="I142" i="23"/>
  <c r="I144" i="23"/>
  <c r="I133" i="23"/>
  <c r="I129" i="23"/>
  <c r="I130" i="23"/>
  <c r="G208" i="23"/>
  <c r="G207" i="23"/>
  <c r="G209" i="23"/>
  <c r="G211" i="23"/>
  <c r="G210" i="23"/>
  <c r="G216" i="23"/>
  <c r="G274" i="23"/>
  <c r="G269" i="23"/>
  <c r="G266" i="23"/>
  <c r="G265" i="23"/>
  <c r="G268" i="23"/>
  <c r="G267" i="23"/>
  <c r="I137" i="23"/>
  <c r="H201" i="23"/>
  <c r="H230" i="23" s="1"/>
  <c r="H259" i="23"/>
  <c r="H288" i="23" s="1"/>
  <c r="H263" i="23"/>
  <c r="H292" i="23" s="1"/>
  <c r="H205" i="23"/>
  <c r="H234" i="23" s="1"/>
  <c r="H151" i="23"/>
  <c r="I134" i="23"/>
  <c r="I148" i="23"/>
  <c r="H150" i="23"/>
  <c r="J143" i="23" l="1"/>
  <c r="J201" i="23" s="1"/>
  <c r="J230" i="23" s="1"/>
  <c r="J134" i="23"/>
  <c r="J192" i="23" s="1"/>
  <c r="J221" i="23" s="1"/>
  <c r="J131" i="23"/>
  <c r="J133" i="23"/>
  <c r="J132" i="23"/>
  <c r="J190" i="23" s="1"/>
  <c r="J219" i="23" s="1"/>
  <c r="J136" i="23"/>
  <c r="J135" i="23"/>
  <c r="J140" i="23"/>
  <c r="J256" i="23" s="1"/>
  <c r="J285" i="23" s="1"/>
  <c r="J129" i="23"/>
  <c r="J148" i="23"/>
  <c r="K86" i="23"/>
  <c r="K146" i="23" s="1"/>
  <c r="K262" i="23" s="1"/>
  <c r="K291" i="23" s="1"/>
  <c r="J142" i="23"/>
  <c r="J258" i="23" s="1"/>
  <c r="J287" i="23" s="1"/>
  <c r="J139" i="23"/>
  <c r="J197" i="23" s="1"/>
  <c r="J226" i="23" s="1"/>
  <c r="J138" i="23"/>
  <c r="J146" i="23"/>
  <c r="J262" i="23" s="1"/>
  <c r="J291" i="23" s="1"/>
  <c r="J130" i="23"/>
  <c r="J246" i="23" s="1"/>
  <c r="J275" i="23" s="1"/>
  <c r="H339" i="23"/>
  <c r="J145" i="23"/>
  <c r="J203" i="23" s="1"/>
  <c r="J232" i="23" s="1"/>
  <c r="J141" i="23"/>
  <c r="J257" i="23" s="1"/>
  <c r="J286" i="23" s="1"/>
  <c r="J147" i="23"/>
  <c r="J137" i="23"/>
  <c r="J195" i="23" s="1"/>
  <c r="J224" i="23" s="1"/>
  <c r="J202" i="23"/>
  <c r="J231" i="23" s="1"/>
  <c r="I201" i="23"/>
  <c r="I230" i="23" s="1"/>
  <c r="I259" i="23"/>
  <c r="I288" i="23" s="1"/>
  <c r="I264" i="23"/>
  <c r="I293" i="23" s="1"/>
  <c r="I206" i="23"/>
  <c r="I235" i="23" s="1"/>
  <c r="I188" i="23"/>
  <c r="I217" i="23" s="1"/>
  <c r="I246" i="23"/>
  <c r="I275" i="23" s="1"/>
  <c r="I200" i="23"/>
  <c r="I229" i="23" s="1"/>
  <c r="I258" i="23"/>
  <c r="I287" i="23" s="1"/>
  <c r="I248" i="23"/>
  <c r="I277" i="23" s="1"/>
  <c r="I190" i="23"/>
  <c r="I219" i="23" s="1"/>
  <c r="I252" i="23"/>
  <c r="I281" i="23" s="1"/>
  <c r="I194" i="23"/>
  <c r="I223" i="23" s="1"/>
  <c r="K157" i="17"/>
  <c r="V72" i="23"/>
  <c r="L83" i="23" s="1"/>
  <c r="V74" i="23"/>
  <c r="L85" i="23" s="1"/>
  <c r="V68" i="23"/>
  <c r="L79" i="23" s="1"/>
  <c r="V75" i="23"/>
  <c r="V71" i="23"/>
  <c r="L82" i="23" s="1"/>
  <c r="V69" i="23"/>
  <c r="L80" i="23" s="1"/>
  <c r="V70" i="23"/>
  <c r="L81" i="23" s="1"/>
  <c r="V73" i="23"/>
  <c r="L84" i="23" s="1"/>
  <c r="H217" i="23"/>
  <c r="H207" i="23"/>
  <c r="H208" i="23"/>
  <c r="H211" i="23"/>
  <c r="H210" i="23"/>
  <c r="H209" i="23"/>
  <c r="I198" i="23"/>
  <c r="I227" i="23" s="1"/>
  <c r="I256" i="23"/>
  <c r="I285" i="23" s="1"/>
  <c r="G297" i="23"/>
  <c r="G294" i="23"/>
  <c r="G298" i="23"/>
  <c r="G295" i="23"/>
  <c r="G296" i="23"/>
  <c r="I249" i="23"/>
  <c r="I278" i="23" s="1"/>
  <c r="I191" i="23"/>
  <c r="I220" i="23" s="1"/>
  <c r="I263" i="23"/>
  <c r="I292" i="23" s="1"/>
  <c r="I205" i="23"/>
  <c r="I234" i="23" s="1"/>
  <c r="H275" i="23"/>
  <c r="H268" i="23"/>
  <c r="H265" i="23"/>
  <c r="H269" i="23"/>
  <c r="H267" i="23"/>
  <c r="H266" i="23"/>
  <c r="I254" i="23"/>
  <c r="I283" i="23" s="1"/>
  <c r="I196" i="23"/>
  <c r="I225" i="23" s="1"/>
  <c r="I250" i="23"/>
  <c r="I279" i="23" s="1"/>
  <c r="I192" i="23"/>
  <c r="I221" i="23" s="1"/>
  <c r="I151" i="23"/>
  <c r="I149" i="23"/>
  <c r="I336" i="23" s="1"/>
  <c r="I338" i="23" s="1"/>
  <c r="I152" i="23"/>
  <c r="I187" i="23"/>
  <c r="I150" i="23"/>
  <c r="I245" i="23"/>
  <c r="I153" i="23"/>
  <c r="I199" i="23"/>
  <c r="I228" i="23" s="1"/>
  <c r="I257" i="23"/>
  <c r="I286" i="23" s="1"/>
  <c r="I247" i="23"/>
  <c r="I276" i="23" s="1"/>
  <c r="I189" i="23"/>
  <c r="I218" i="23" s="1"/>
  <c r="G236" i="23"/>
  <c r="G237" i="23"/>
  <c r="G238" i="23"/>
  <c r="G239" i="23"/>
  <c r="G240" i="23"/>
  <c r="I195" i="23"/>
  <c r="I224" i="23" s="1"/>
  <c r="I253" i="23"/>
  <c r="I282" i="23" s="1"/>
  <c r="I202" i="23"/>
  <c r="I231" i="23" s="1"/>
  <c r="I260" i="23"/>
  <c r="I289" i="23" s="1"/>
  <c r="I203" i="23"/>
  <c r="I232" i="23" s="1"/>
  <c r="I261" i="23"/>
  <c r="I290" i="23" s="1"/>
  <c r="I204" i="23"/>
  <c r="I233" i="23" s="1"/>
  <c r="I262" i="23"/>
  <c r="I291" i="23" s="1"/>
  <c r="H326" i="23"/>
  <c r="H328" i="23" s="1"/>
  <c r="H329" i="23" s="1"/>
  <c r="H316" i="23"/>
  <c r="H318" i="23" s="1"/>
  <c r="H319" i="23" s="1"/>
  <c r="H306" i="23"/>
  <c r="H308" i="23" s="1"/>
  <c r="H309" i="23" s="1"/>
  <c r="I197" i="23"/>
  <c r="I226" i="23" s="1"/>
  <c r="I255" i="23"/>
  <c r="I284" i="23" s="1"/>
  <c r="J259" i="23" l="1"/>
  <c r="J288" i="23" s="1"/>
  <c r="K142" i="23"/>
  <c r="K258" i="23" s="1"/>
  <c r="K287" i="23" s="1"/>
  <c r="J198" i="23"/>
  <c r="J227" i="23" s="1"/>
  <c r="K134" i="23"/>
  <c r="K192" i="23" s="1"/>
  <c r="K221" i="23" s="1"/>
  <c r="K133" i="23"/>
  <c r="K191" i="23" s="1"/>
  <c r="K220" i="23" s="1"/>
  <c r="K139" i="23"/>
  <c r="K197" i="23" s="1"/>
  <c r="K226" i="23" s="1"/>
  <c r="J199" i="23"/>
  <c r="J228" i="23" s="1"/>
  <c r="J248" i="23"/>
  <c r="J277" i="23" s="1"/>
  <c r="I339" i="23"/>
  <c r="K137" i="23"/>
  <c r="K253" i="23" s="1"/>
  <c r="K282" i="23" s="1"/>
  <c r="J255" i="23"/>
  <c r="J284" i="23" s="1"/>
  <c r="K140" i="23"/>
  <c r="K198" i="23" s="1"/>
  <c r="K227" i="23" s="1"/>
  <c r="K147" i="23"/>
  <c r="K205" i="23" s="1"/>
  <c r="K234" i="23" s="1"/>
  <c r="L86" i="23"/>
  <c r="L135" i="23" s="1"/>
  <c r="L193" i="23" s="1"/>
  <c r="L222" i="23" s="1"/>
  <c r="K145" i="23"/>
  <c r="K261" i="23" s="1"/>
  <c r="K290" i="23" s="1"/>
  <c r="K131" i="23"/>
  <c r="K189" i="23" s="1"/>
  <c r="K218" i="23" s="1"/>
  <c r="J200" i="23"/>
  <c r="J229" i="23" s="1"/>
  <c r="K129" i="23"/>
  <c r="K245" i="23" s="1"/>
  <c r="K274" i="23" s="1"/>
  <c r="K144" i="23"/>
  <c r="K202" i="23" s="1"/>
  <c r="K231" i="23" s="1"/>
  <c r="K132" i="23"/>
  <c r="K248" i="23" s="1"/>
  <c r="K277" i="23" s="1"/>
  <c r="K148" i="23"/>
  <c r="J204" i="23"/>
  <c r="J233" i="23" s="1"/>
  <c r="J250" i="23"/>
  <c r="J279" i="23" s="1"/>
  <c r="J191" i="23"/>
  <c r="J220" i="23" s="1"/>
  <c r="J249" i="23"/>
  <c r="J278" i="23" s="1"/>
  <c r="J261" i="23"/>
  <c r="J290" i="23" s="1"/>
  <c r="J194" i="23"/>
  <c r="J223" i="23" s="1"/>
  <c r="J252" i="23"/>
  <c r="J281" i="23" s="1"/>
  <c r="J188" i="23"/>
  <c r="J217" i="23" s="1"/>
  <c r="J193" i="23"/>
  <c r="J222" i="23" s="1"/>
  <c r="J251" i="23"/>
  <c r="J280" i="23" s="1"/>
  <c r="J152" i="23"/>
  <c r="J189" i="23"/>
  <c r="J218" i="23" s="1"/>
  <c r="J247" i="23"/>
  <c r="J276" i="23" s="1"/>
  <c r="J151" i="23"/>
  <c r="K136" i="23"/>
  <c r="K252" i="23" s="1"/>
  <c r="K281" i="23" s="1"/>
  <c r="K130" i="23"/>
  <c r="K246" i="23" s="1"/>
  <c r="K275" i="23" s="1"/>
  <c r="K143" i="23"/>
  <c r="K201" i="23" s="1"/>
  <c r="K230" i="23" s="1"/>
  <c r="J196" i="23"/>
  <c r="J225" i="23" s="1"/>
  <c r="J254" i="23"/>
  <c r="J283" i="23" s="1"/>
  <c r="J206" i="23"/>
  <c r="J235" i="23" s="1"/>
  <c r="J264" i="23"/>
  <c r="J293" i="23" s="1"/>
  <c r="J187" i="23"/>
  <c r="J216" i="23" s="1"/>
  <c r="J245" i="23"/>
  <c r="J274" i="23" s="1"/>
  <c r="K141" i="23"/>
  <c r="K199" i="23" s="1"/>
  <c r="K228" i="23" s="1"/>
  <c r="J150" i="23"/>
  <c r="J149" i="23"/>
  <c r="J326" i="23" s="1"/>
  <c r="J328" i="23" s="1"/>
  <c r="K135" i="23"/>
  <c r="K193" i="23" s="1"/>
  <c r="K222" i="23" s="1"/>
  <c r="K138" i="23"/>
  <c r="K196" i="23" s="1"/>
  <c r="K225" i="23" s="1"/>
  <c r="J153" i="23"/>
  <c r="J253" i="23"/>
  <c r="J282" i="23" s="1"/>
  <c r="J263" i="23"/>
  <c r="J292" i="23" s="1"/>
  <c r="J205" i="23"/>
  <c r="J234" i="23" s="1"/>
  <c r="K204" i="23"/>
  <c r="K233" i="23" s="1"/>
  <c r="H294" i="23"/>
  <c r="H295" i="23"/>
  <c r="H296" i="23"/>
  <c r="H298" i="23"/>
  <c r="H297" i="23"/>
  <c r="L157" i="17"/>
  <c r="W71" i="23"/>
  <c r="M82" i="23" s="1"/>
  <c r="W75" i="23"/>
  <c r="W69" i="23"/>
  <c r="M80" i="23" s="1"/>
  <c r="W73" i="23"/>
  <c r="M84" i="23" s="1"/>
  <c r="W68" i="23"/>
  <c r="M79" i="23" s="1"/>
  <c r="W72" i="23"/>
  <c r="M83" i="23" s="1"/>
  <c r="W70" i="23"/>
  <c r="M81" i="23" s="1"/>
  <c r="W74" i="23"/>
  <c r="M85" i="23" s="1"/>
  <c r="I274" i="23"/>
  <c r="I265" i="23"/>
  <c r="I266" i="23"/>
  <c r="I267" i="23"/>
  <c r="I269" i="23"/>
  <c r="I268" i="23"/>
  <c r="I326" i="23"/>
  <c r="I328" i="23" s="1"/>
  <c r="I329" i="23" s="1"/>
  <c r="I306" i="23"/>
  <c r="I308" i="23" s="1"/>
  <c r="I309" i="23" s="1"/>
  <c r="I316" i="23"/>
  <c r="I318" i="23" s="1"/>
  <c r="I319" i="23" s="1"/>
  <c r="I207" i="23"/>
  <c r="I211" i="23"/>
  <c r="I210" i="23"/>
  <c r="I209" i="23"/>
  <c r="I216" i="23"/>
  <c r="I208" i="23"/>
  <c r="H239" i="23"/>
  <c r="H237" i="23"/>
  <c r="H240" i="23"/>
  <c r="H238" i="23"/>
  <c r="H236" i="23"/>
  <c r="K200" i="23" l="1"/>
  <c r="K229" i="23" s="1"/>
  <c r="L145" i="23"/>
  <c r="L203" i="23" s="1"/>
  <c r="L232" i="23" s="1"/>
  <c r="K250" i="23"/>
  <c r="K279" i="23" s="1"/>
  <c r="L142" i="23"/>
  <c r="L258" i="23" s="1"/>
  <c r="L287" i="23" s="1"/>
  <c r="L134" i="23"/>
  <c r="L192" i="23" s="1"/>
  <c r="L221" i="23" s="1"/>
  <c r="L138" i="23"/>
  <c r="L254" i="23" s="1"/>
  <c r="L283" i="23" s="1"/>
  <c r="L131" i="23"/>
  <c r="L247" i="23" s="1"/>
  <c r="L276" i="23" s="1"/>
  <c r="L141" i="23"/>
  <c r="L199" i="23" s="1"/>
  <c r="L228" i="23" s="1"/>
  <c r="L133" i="23"/>
  <c r="L249" i="23" s="1"/>
  <c r="L278" i="23" s="1"/>
  <c r="L148" i="23"/>
  <c r="L264" i="23" s="1"/>
  <c r="L293" i="23" s="1"/>
  <c r="L143" i="23"/>
  <c r="L201" i="23" s="1"/>
  <c r="L230" i="23" s="1"/>
  <c r="L132" i="23"/>
  <c r="L248" i="23" s="1"/>
  <c r="L277" i="23" s="1"/>
  <c r="L129" i="23"/>
  <c r="L187" i="23" s="1"/>
  <c r="L216" i="23" s="1"/>
  <c r="J329" i="23"/>
  <c r="L130" i="23"/>
  <c r="L246" i="23" s="1"/>
  <c r="L275" i="23" s="1"/>
  <c r="M86" i="23"/>
  <c r="M134" i="23" s="1"/>
  <c r="M250" i="23" s="1"/>
  <c r="L139" i="23"/>
  <c r="L255" i="23" s="1"/>
  <c r="L284" i="23" s="1"/>
  <c r="L144" i="23"/>
  <c r="L202" i="23" s="1"/>
  <c r="L231" i="23" s="1"/>
  <c r="L146" i="23"/>
  <c r="L262" i="23" s="1"/>
  <c r="L291" i="23" s="1"/>
  <c r="L140" i="23"/>
  <c r="L256" i="23" s="1"/>
  <c r="L285" i="23" s="1"/>
  <c r="L136" i="23"/>
  <c r="L194" i="23" s="1"/>
  <c r="L223" i="23" s="1"/>
  <c r="L147" i="23"/>
  <c r="L205" i="23" s="1"/>
  <c r="L234" i="23" s="1"/>
  <c r="K187" i="23"/>
  <c r="K216" i="23" s="1"/>
  <c r="K255" i="23"/>
  <c r="K284" i="23" s="1"/>
  <c r="L137" i="23"/>
  <c r="L195" i="23" s="1"/>
  <c r="L224" i="23" s="1"/>
  <c r="K249" i="23"/>
  <c r="K278" i="23" s="1"/>
  <c r="J336" i="23"/>
  <c r="J338" i="23" s="1"/>
  <c r="J339" i="23" s="1"/>
  <c r="K195" i="23"/>
  <c r="K224" i="23" s="1"/>
  <c r="K263" i="23"/>
  <c r="K292" i="23" s="1"/>
  <c r="K256" i="23"/>
  <c r="K285" i="23" s="1"/>
  <c r="K194" i="23"/>
  <c r="K223" i="23" s="1"/>
  <c r="K203" i="23"/>
  <c r="K232" i="23" s="1"/>
  <c r="J296" i="23"/>
  <c r="J265" i="23"/>
  <c r="J268" i="23"/>
  <c r="K206" i="23"/>
  <c r="K235" i="23" s="1"/>
  <c r="K264" i="23"/>
  <c r="K293" i="23" s="1"/>
  <c r="K247" i="23"/>
  <c r="K276" i="23" s="1"/>
  <c r="K260" i="23"/>
  <c r="K289" i="23" s="1"/>
  <c r="K190" i="23"/>
  <c r="K219" i="23" s="1"/>
  <c r="K251" i="23"/>
  <c r="K280" i="23" s="1"/>
  <c r="K188" i="23"/>
  <c r="J269" i="23"/>
  <c r="J316" i="23"/>
  <c r="J318" i="23" s="1"/>
  <c r="J319" i="23" s="1"/>
  <c r="J295" i="23"/>
  <c r="K149" i="23"/>
  <c r="K326" i="23" s="1"/>
  <c r="K328" i="23" s="1"/>
  <c r="J239" i="23"/>
  <c r="J211" i="23"/>
  <c r="J267" i="23"/>
  <c r="K259" i="23"/>
  <c r="K288" i="23" s="1"/>
  <c r="J297" i="23"/>
  <c r="K152" i="23"/>
  <c r="J266" i="23"/>
  <c r="K254" i="23"/>
  <c r="K283" i="23" s="1"/>
  <c r="J208" i="23"/>
  <c r="K257" i="23"/>
  <c r="K286" i="23" s="1"/>
  <c r="J298" i="23"/>
  <c r="K150" i="23"/>
  <c r="K151" i="23"/>
  <c r="J210" i="23"/>
  <c r="J294" i="23"/>
  <c r="K153" i="23"/>
  <c r="J306" i="23"/>
  <c r="J308" i="23" s="1"/>
  <c r="J309" i="23" s="1"/>
  <c r="J237" i="23"/>
  <c r="J207" i="23"/>
  <c r="J209" i="23"/>
  <c r="J238" i="23"/>
  <c r="J240" i="23"/>
  <c r="L251" i="23"/>
  <c r="L280" i="23" s="1"/>
  <c r="J236" i="23"/>
  <c r="I239" i="23"/>
  <c r="I237" i="23"/>
  <c r="I236" i="23"/>
  <c r="I240" i="23"/>
  <c r="I238" i="23"/>
  <c r="M157" i="17"/>
  <c r="X69" i="23"/>
  <c r="N80" i="23" s="1"/>
  <c r="X71" i="23"/>
  <c r="N82" i="23" s="1"/>
  <c r="X74" i="23"/>
  <c r="N85" i="23" s="1"/>
  <c r="X70" i="23"/>
  <c r="N81" i="23" s="1"/>
  <c r="X73" i="23"/>
  <c r="N84" i="23" s="1"/>
  <c r="X75" i="23"/>
  <c r="X68" i="23"/>
  <c r="N79" i="23" s="1"/>
  <c r="X72" i="23"/>
  <c r="N83" i="23" s="1"/>
  <c r="I295" i="23"/>
  <c r="I298" i="23"/>
  <c r="I296" i="23"/>
  <c r="I294" i="23"/>
  <c r="I297" i="23"/>
  <c r="L261" i="23" l="1"/>
  <c r="L290" i="23" s="1"/>
  <c r="L196" i="23"/>
  <c r="L225" i="23" s="1"/>
  <c r="L257" i="23"/>
  <c r="L286" i="23" s="1"/>
  <c r="L200" i="23"/>
  <c r="L229" i="23" s="1"/>
  <c r="M140" i="23"/>
  <c r="M198" i="23" s="1"/>
  <c r="M227" i="23" s="1"/>
  <c r="L245" i="23"/>
  <c r="L274" i="23" s="1"/>
  <c r="L191" i="23"/>
  <c r="L220" i="23" s="1"/>
  <c r="L188" i="23"/>
  <c r="L217" i="23" s="1"/>
  <c r="L250" i="23"/>
  <c r="L279" i="23" s="1"/>
  <c r="L204" i="23"/>
  <c r="L233" i="23" s="1"/>
  <c r="L259" i="23"/>
  <c r="L288" i="23" s="1"/>
  <c r="L189" i="23"/>
  <c r="L218" i="23" s="1"/>
  <c r="L252" i="23"/>
  <c r="L281" i="23" s="1"/>
  <c r="M131" i="23"/>
  <c r="M247" i="23" s="1"/>
  <c r="M276" i="23" s="1"/>
  <c r="M142" i="23"/>
  <c r="M258" i="23" s="1"/>
  <c r="M287" i="23" s="1"/>
  <c r="M144" i="23"/>
  <c r="M202" i="23" s="1"/>
  <c r="M231" i="23" s="1"/>
  <c r="M145" i="23"/>
  <c r="M203" i="23" s="1"/>
  <c r="M232" i="23" s="1"/>
  <c r="M148" i="23"/>
  <c r="M206" i="23" s="1"/>
  <c r="M235" i="23" s="1"/>
  <c r="M130" i="23"/>
  <c r="M246" i="23" s="1"/>
  <c r="M275" i="23" s="1"/>
  <c r="M135" i="23"/>
  <c r="M193" i="23" s="1"/>
  <c r="M222" i="23" s="1"/>
  <c r="L149" i="23"/>
  <c r="L336" i="23" s="1"/>
  <c r="L338" i="23" s="1"/>
  <c r="L253" i="23"/>
  <c r="L282" i="23" s="1"/>
  <c r="L197" i="23"/>
  <c r="L226" i="23" s="1"/>
  <c r="L152" i="23"/>
  <c r="M138" i="23"/>
  <c r="M196" i="23" s="1"/>
  <c r="M225" i="23" s="1"/>
  <c r="M136" i="23"/>
  <c r="M252" i="23" s="1"/>
  <c r="M281" i="23" s="1"/>
  <c r="M141" i="23"/>
  <c r="M257" i="23" s="1"/>
  <c r="M286" i="23" s="1"/>
  <c r="M143" i="23"/>
  <c r="M201" i="23" s="1"/>
  <c r="M230" i="23" s="1"/>
  <c r="L198" i="23"/>
  <c r="L227" i="23" s="1"/>
  <c r="M137" i="23"/>
  <c r="M195" i="23" s="1"/>
  <c r="M224" i="23" s="1"/>
  <c r="M147" i="23"/>
  <c r="M205" i="23" s="1"/>
  <c r="M234" i="23" s="1"/>
  <c r="N86" i="23"/>
  <c r="N135" i="23" s="1"/>
  <c r="N251" i="23" s="1"/>
  <c r="N280" i="23" s="1"/>
  <c r="L151" i="23"/>
  <c r="L206" i="23"/>
  <c r="L235" i="23" s="1"/>
  <c r="L263" i="23"/>
  <c r="L292" i="23" s="1"/>
  <c r="L260" i="23"/>
  <c r="L289" i="23" s="1"/>
  <c r="M146" i="23"/>
  <c r="M262" i="23" s="1"/>
  <c r="M291" i="23" s="1"/>
  <c r="M139" i="23"/>
  <c r="M197" i="23" s="1"/>
  <c r="M226" i="23" s="1"/>
  <c r="M133" i="23"/>
  <c r="M191" i="23" s="1"/>
  <c r="M220" i="23" s="1"/>
  <c r="M132" i="23"/>
  <c r="M248" i="23" s="1"/>
  <c r="M277" i="23" s="1"/>
  <c r="M129" i="23"/>
  <c r="M187" i="23" s="1"/>
  <c r="M216" i="23" s="1"/>
  <c r="L190" i="23"/>
  <c r="L219" i="23" s="1"/>
  <c r="L153" i="23"/>
  <c r="L150" i="23"/>
  <c r="K329" i="23"/>
  <c r="K336" i="23"/>
  <c r="K338" i="23" s="1"/>
  <c r="K339" i="23" s="1"/>
  <c r="M188" i="23"/>
  <c r="M217" i="23" s="1"/>
  <c r="K267" i="23"/>
  <c r="K295" i="23"/>
  <c r="K298" i="23"/>
  <c r="K297" i="23"/>
  <c r="K316" i="23"/>
  <c r="K318" i="23" s="1"/>
  <c r="K319" i="23" s="1"/>
  <c r="K296" i="23"/>
  <c r="K266" i="23"/>
  <c r="K306" i="23"/>
  <c r="K308" i="23" s="1"/>
  <c r="K309" i="23" s="1"/>
  <c r="K207" i="23"/>
  <c r="K211" i="23"/>
  <c r="K294" i="23"/>
  <c r="K265" i="23"/>
  <c r="K208" i="23"/>
  <c r="K268" i="23"/>
  <c r="K269" i="23"/>
  <c r="K209" i="23"/>
  <c r="K217" i="23"/>
  <c r="K240" i="23" s="1"/>
  <c r="K210" i="23"/>
  <c r="M192" i="23"/>
  <c r="M221" i="23" s="1"/>
  <c r="N157" i="17"/>
  <c r="Y73" i="23"/>
  <c r="O84" i="23" s="1"/>
  <c r="Y69" i="23"/>
  <c r="O80" i="23" s="1"/>
  <c r="Y71" i="23"/>
  <c r="O82" i="23" s="1"/>
  <c r="Y75" i="23"/>
  <c r="Y72" i="23"/>
  <c r="O83" i="23" s="1"/>
  <c r="Y70" i="23"/>
  <c r="O81" i="23" s="1"/>
  <c r="Y68" i="23"/>
  <c r="O79" i="23" s="1"/>
  <c r="Y74" i="23"/>
  <c r="O85" i="23" s="1"/>
  <c r="M279" i="23"/>
  <c r="M259" i="23" l="1"/>
  <c r="M288" i="23" s="1"/>
  <c r="O86" i="23"/>
  <c r="P86" i="23" s="1"/>
  <c r="M256" i="23"/>
  <c r="M285" i="23" s="1"/>
  <c r="M200" i="23"/>
  <c r="M229" i="23" s="1"/>
  <c r="M261" i="23"/>
  <c r="M290" i="23" s="1"/>
  <c r="M253" i="23"/>
  <c r="M282" i="23" s="1"/>
  <c r="M189" i="23"/>
  <c r="M218" i="23" s="1"/>
  <c r="N142" i="23"/>
  <c r="N258" i="23" s="1"/>
  <c r="N287" i="23" s="1"/>
  <c r="N131" i="23"/>
  <c r="N189" i="23" s="1"/>
  <c r="N218" i="23" s="1"/>
  <c r="N132" i="23"/>
  <c r="N190" i="23" s="1"/>
  <c r="N219" i="23" s="1"/>
  <c r="N130" i="23"/>
  <c r="N246" i="23" s="1"/>
  <c r="N275" i="23" s="1"/>
  <c r="N139" i="23"/>
  <c r="N255" i="23" s="1"/>
  <c r="N284" i="23" s="1"/>
  <c r="M194" i="23"/>
  <c r="M223" i="23" s="1"/>
  <c r="M149" i="23"/>
  <c r="M336" i="23" s="1"/>
  <c r="M338" i="23" s="1"/>
  <c r="M190" i="23"/>
  <c r="M219" i="23" s="1"/>
  <c r="M204" i="23"/>
  <c r="M233" i="23" s="1"/>
  <c r="M264" i="23"/>
  <c r="M293" i="23" s="1"/>
  <c r="N146" i="23"/>
  <c r="N262" i="23" s="1"/>
  <c r="N291" i="23" s="1"/>
  <c r="N140" i="23"/>
  <c r="N198" i="23" s="1"/>
  <c r="N227" i="23" s="1"/>
  <c r="N143" i="23"/>
  <c r="N259" i="23" s="1"/>
  <c r="N288" i="23" s="1"/>
  <c r="M251" i="23"/>
  <c r="M280" i="23" s="1"/>
  <c r="N147" i="23"/>
  <c r="N263" i="23" s="1"/>
  <c r="N292" i="23" s="1"/>
  <c r="N141" i="23"/>
  <c r="N199" i="23" s="1"/>
  <c r="N228" i="23" s="1"/>
  <c r="N137" i="23"/>
  <c r="N253" i="23" s="1"/>
  <c r="N282" i="23" s="1"/>
  <c r="N138" i="23"/>
  <c r="N254" i="23" s="1"/>
  <c r="N283" i="23" s="1"/>
  <c r="N145" i="23"/>
  <c r="N203" i="23" s="1"/>
  <c r="N232" i="23" s="1"/>
  <c r="N136" i="23"/>
  <c r="N252" i="23" s="1"/>
  <c r="N281" i="23" s="1"/>
  <c r="N144" i="23"/>
  <c r="N260" i="23" s="1"/>
  <c r="N289" i="23" s="1"/>
  <c r="N148" i="23"/>
  <c r="N264" i="23" s="1"/>
  <c r="N293" i="23" s="1"/>
  <c r="N134" i="23"/>
  <c r="N250" i="23" s="1"/>
  <c r="N279" i="23" s="1"/>
  <c r="N133" i="23"/>
  <c r="N191" i="23" s="1"/>
  <c r="N220" i="23" s="1"/>
  <c r="N129" i="23"/>
  <c r="N187" i="23" s="1"/>
  <c r="N216" i="23" s="1"/>
  <c r="M260" i="23"/>
  <c r="M289" i="23" s="1"/>
  <c r="M199" i="23"/>
  <c r="M228" i="23" s="1"/>
  <c r="M254" i="23"/>
  <c r="M283" i="23" s="1"/>
  <c r="M249" i="23"/>
  <c r="M278" i="23" s="1"/>
  <c r="L326" i="23"/>
  <c r="L328" i="23" s="1"/>
  <c r="L329" i="23" s="1"/>
  <c r="L339" i="23"/>
  <c r="M339" i="23" s="1"/>
  <c r="L297" i="23"/>
  <c r="L266" i="23"/>
  <c r="M151" i="23"/>
  <c r="L267" i="23"/>
  <c r="L298" i="23"/>
  <c r="L306" i="23"/>
  <c r="L308" i="23" s="1"/>
  <c r="L309" i="23" s="1"/>
  <c r="L237" i="23"/>
  <c r="L295" i="23"/>
  <c r="L240" i="23"/>
  <c r="L211" i="23"/>
  <c r="L296" i="23"/>
  <c r="M263" i="23"/>
  <c r="M292" i="23" s="1"/>
  <c r="L236" i="23"/>
  <c r="L238" i="23"/>
  <c r="L294" i="23"/>
  <c r="L265" i="23"/>
  <c r="M245" i="23"/>
  <c r="M274" i="23" s="1"/>
  <c r="L316" i="23"/>
  <c r="L318" i="23" s="1"/>
  <c r="L319" i="23" s="1"/>
  <c r="L239" i="23"/>
  <c r="L209" i="23"/>
  <c r="M152" i="23"/>
  <c r="M150" i="23"/>
  <c r="L207" i="23"/>
  <c r="L208" i="23"/>
  <c r="L269" i="23"/>
  <c r="M153" i="23"/>
  <c r="M255" i="23"/>
  <c r="M284" i="23" s="1"/>
  <c r="L268" i="23"/>
  <c r="L210" i="23"/>
  <c r="K236" i="23"/>
  <c r="K238" i="23"/>
  <c r="K239" i="23"/>
  <c r="K237" i="23"/>
  <c r="N201" i="23"/>
  <c r="N230" i="23" s="1"/>
  <c r="N193" i="23"/>
  <c r="N222" i="23" s="1"/>
  <c r="O132" i="23"/>
  <c r="O248" i="23" s="1"/>
  <c r="O157" i="17"/>
  <c r="Z74" i="23"/>
  <c r="P85" i="23" s="1"/>
  <c r="Z68" i="23"/>
  <c r="P79" i="23" s="1"/>
  <c r="Z72" i="23"/>
  <c r="P83" i="23" s="1"/>
  <c r="Z71" i="23"/>
  <c r="P82" i="23" s="1"/>
  <c r="Z70" i="23"/>
  <c r="P81" i="23" s="1"/>
  <c r="Z73" i="23"/>
  <c r="P84" i="23" s="1"/>
  <c r="Z75" i="23"/>
  <c r="Z69" i="23"/>
  <c r="P80" i="23" s="1"/>
  <c r="O129" i="23" l="1"/>
  <c r="O187" i="23" s="1"/>
  <c r="O216" i="23" s="1"/>
  <c r="O134" i="23"/>
  <c r="O192" i="23" s="1"/>
  <c r="O221" i="23" s="1"/>
  <c r="O148" i="23"/>
  <c r="O206" i="23" s="1"/>
  <c r="O235" i="23" s="1"/>
  <c r="O147" i="23"/>
  <c r="O263" i="23" s="1"/>
  <c r="O292" i="23" s="1"/>
  <c r="O137" i="23"/>
  <c r="O253" i="23" s="1"/>
  <c r="O282" i="23" s="1"/>
  <c r="O135" i="23"/>
  <c r="O193" i="23" s="1"/>
  <c r="O222" i="23" s="1"/>
  <c r="O141" i="23"/>
  <c r="O199" i="23" s="1"/>
  <c r="O228" i="23" s="1"/>
  <c r="O146" i="23"/>
  <c r="O204" i="23" s="1"/>
  <c r="O233" i="23" s="1"/>
  <c r="O145" i="23"/>
  <c r="O261" i="23" s="1"/>
  <c r="O290" i="23" s="1"/>
  <c r="O142" i="23"/>
  <c r="O200" i="23" s="1"/>
  <c r="O229" i="23" s="1"/>
  <c r="O144" i="23"/>
  <c r="O202" i="23" s="1"/>
  <c r="O231" i="23" s="1"/>
  <c r="O130" i="23"/>
  <c r="O188" i="23" s="1"/>
  <c r="O217" i="23" s="1"/>
  <c r="O139" i="23"/>
  <c r="O255" i="23" s="1"/>
  <c r="O284" i="23" s="1"/>
  <c r="O131" i="23"/>
  <c r="O189" i="23" s="1"/>
  <c r="O218" i="23" s="1"/>
  <c r="O133" i="23"/>
  <c r="O249" i="23" s="1"/>
  <c r="O278" i="23" s="1"/>
  <c r="O143" i="23"/>
  <c r="O201" i="23" s="1"/>
  <c r="O230" i="23" s="1"/>
  <c r="O138" i="23"/>
  <c r="O196" i="23" s="1"/>
  <c r="O225" i="23" s="1"/>
  <c r="O136" i="23"/>
  <c r="O194" i="23" s="1"/>
  <c r="O223" i="23" s="1"/>
  <c r="O140" i="23"/>
  <c r="O256" i="23" s="1"/>
  <c r="O285" i="23" s="1"/>
  <c r="N200" i="23"/>
  <c r="N229" i="23" s="1"/>
  <c r="N188" i="23"/>
  <c r="N217" i="23" s="1"/>
  <c r="N247" i="23"/>
  <c r="N276" i="23" s="1"/>
  <c r="N248" i="23"/>
  <c r="N277" i="23" s="1"/>
  <c r="N197" i="23"/>
  <c r="N226" i="23" s="1"/>
  <c r="M326" i="23"/>
  <c r="M328" i="23" s="1"/>
  <c r="M329" i="23" s="1"/>
  <c r="N195" i="23"/>
  <c r="N224" i="23" s="1"/>
  <c r="M240" i="23"/>
  <c r="M239" i="23"/>
  <c r="M238" i="23"/>
  <c r="N257" i="23"/>
  <c r="N286" i="23" s="1"/>
  <c r="M296" i="23"/>
  <c r="N249" i="23"/>
  <c r="N278" i="23" s="1"/>
  <c r="N196" i="23"/>
  <c r="N225" i="23" s="1"/>
  <c r="N192" i="23"/>
  <c r="N221" i="23" s="1"/>
  <c r="M211" i="23"/>
  <c r="N261" i="23"/>
  <c r="N290" i="23" s="1"/>
  <c r="M237" i="23"/>
  <c r="M267" i="23"/>
  <c r="N151" i="23"/>
  <c r="M207" i="23"/>
  <c r="N205" i="23"/>
  <c r="N234" i="23" s="1"/>
  <c r="M236" i="23"/>
  <c r="M208" i="23"/>
  <c r="M209" i="23"/>
  <c r="M210" i="23"/>
  <c r="N204" i="23"/>
  <c r="N233" i="23" s="1"/>
  <c r="N206" i="23"/>
  <c r="N235" i="23" s="1"/>
  <c r="M297" i="23"/>
  <c r="N150" i="23"/>
  <c r="N152" i="23"/>
  <c r="N153" i="23"/>
  <c r="N194" i="23"/>
  <c r="N223" i="23" s="1"/>
  <c r="N256" i="23"/>
  <c r="N285" i="23" s="1"/>
  <c r="N245" i="23"/>
  <c r="N274" i="23" s="1"/>
  <c r="N149" i="23"/>
  <c r="N326" i="23" s="1"/>
  <c r="N328" i="23" s="1"/>
  <c r="N202" i="23"/>
  <c r="N231" i="23" s="1"/>
  <c r="M298" i="23"/>
  <c r="M269" i="23"/>
  <c r="M294" i="23"/>
  <c r="M268" i="23"/>
  <c r="M306" i="23"/>
  <c r="M308" i="23" s="1"/>
  <c r="M309" i="23" s="1"/>
  <c r="M295" i="23"/>
  <c r="M265" i="23"/>
  <c r="M266" i="23"/>
  <c r="M316" i="23"/>
  <c r="M318" i="23" s="1"/>
  <c r="M319" i="23" s="1"/>
  <c r="O190" i="23"/>
  <c r="Q86" i="23"/>
  <c r="P146" i="23"/>
  <c r="P204" i="23" s="1"/>
  <c r="P233" i="23" s="1"/>
  <c r="P141" i="23"/>
  <c r="P199" i="23" s="1"/>
  <c r="P228" i="23" s="1"/>
  <c r="P136" i="23"/>
  <c r="P252" i="23" s="1"/>
  <c r="P281" i="23" s="1"/>
  <c r="P132" i="23"/>
  <c r="P248" i="23" s="1"/>
  <c r="P277" i="23" s="1"/>
  <c r="P143" i="23"/>
  <c r="P201" i="23" s="1"/>
  <c r="P230" i="23" s="1"/>
  <c r="P129" i="23"/>
  <c r="P245" i="23" s="1"/>
  <c r="P274" i="23" s="1"/>
  <c r="P144" i="23"/>
  <c r="P202" i="23" s="1"/>
  <c r="P231" i="23" s="1"/>
  <c r="P148" i="23"/>
  <c r="P206" i="23" s="1"/>
  <c r="P235" i="23" s="1"/>
  <c r="P133" i="23"/>
  <c r="P249" i="23" s="1"/>
  <c r="P278" i="23" s="1"/>
  <c r="P140" i="23"/>
  <c r="P198" i="23" s="1"/>
  <c r="P227" i="23" s="1"/>
  <c r="P139" i="23"/>
  <c r="P255" i="23" s="1"/>
  <c r="P284" i="23" s="1"/>
  <c r="P134" i="23"/>
  <c r="P192" i="23" s="1"/>
  <c r="P221" i="23" s="1"/>
  <c r="P138" i="23"/>
  <c r="P196" i="23" s="1"/>
  <c r="P225" i="23" s="1"/>
  <c r="P147" i="23"/>
  <c r="P205" i="23" s="1"/>
  <c r="P234" i="23" s="1"/>
  <c r="P131" i="23"/>
  <c r="P247" i="23" s="1"/>
  <c r="P276" i="23" s="1"/>
  <c r="P142" i="23"/>
  <c r="P258" i="23" s="1"/>
  <c r="P287" i="23" s="1"/>
  <c r="P145" i="23"/>
  <c r="P203" i="23" s="1"/>
  <c r="P232" i="23" s="1"/>
  <c r="P135" i="23"/>
  <c r="P251" i="23" s="1"/>
  <c r="P280" i="23" s="1"/>
  <c r="P137" i="23"/>
  <c r="P195" i="23" s="1"/>
  <c r="P224" i="23" s="1"/>
  <c r="P130" i="23"/>
  <c r="P246" i="23" s="1"/>
  <c r="P275" i="23" s="1"/>
  <c r="P157" i="17"/>
  <c r="AA71" i="23"/>
  <c r="Q82" i="23" s="1"/>
  <c r="AA69" i="23"/>
  <c r="Q80" i="23" s="1"/>
  <c r="AA70" i="23"/>
  <c r="Q81" i="23" s="1"/>
  <c r="AA74" i="23"/>
  <c r="Q85" i="23" s="1"/>
  <c r="AA68" i="23"/>
  <c r="Q79" i="23" s="1"/>
  <c r="AA73" i="23"/>
  <c r="Q84" i="23" s="1"/>
  <c r="AA72" i="23"/>
  <c r="Q83" i="23" s="1"/>
  <c r="AA75" i="23"/>
  <c r="O277" i="23"/>
  <c r="O262" i="23" l="1"/>
  <c r="O291" i="23" s="1"/>
  <c r="O246" i="23"/>
  <c r="O275" i="23" s="1"/>
  <c r="O205" i="23"/>
  <c r="O234" i="23" s="1"/>
  <c r="O245" i="23"/>
  <c r="O274" i="23" s="1"/>
  <c r="O250" i="23"/>
  <c r="O279" i="23" s="1"/>
  <c r="O252" i="23"/>
  <c r="O281" i="23" s="1"/>
  <c r="O259" i="23"/>
  <c r="O288" i="23" s="1"/>
  <c r="O195" i="23"/>
  <c r="O224" i="23" s="1"/>
  <c r="O191" i="23"/>
  <c r="O220" i="23" s="1"/>
  <c r="O264" i="23"/>
  <c r="O293" i="23" s="1"/>
  <c r="O257" i="23"/>
  <c r="O286" i="23" s="1"/>
  <c r="O203" i="23"/>
  <c r="O232" i="23" s="1"/>
  <c r="O153" i="23"/>
  <c r="O260" i="23"/>
  <c r="O289" i="23" s="1"/>
  <c r="O152" i="23"/>
  <c r="O149" i="23"/>
  <c r="O336" i="23" s="1"/>
  <c r="O338" i="23" s="1"/>
  <c r="O198" i="23"/>
  <c r="O227" i="23" s="1"/>
  <c r="O258" i="23"/>
  <c r="O287" i="23" s="1"/>
  <c r="O151" i="23"/>
  <c r="O197" i="23"/>
  <c r="O226" i="23" s="1"/>
  <c r="O247" i="23"/>
  <c r="O276" i="23" s="1"/>
  <c r="O150" i="23"/>
  <c r="O251" i="23"/>
  <c r="O280" i="23" s="1"/>
  <c r="O254" i="23"/>
  <c r="O283" i="23" s="1"/>
  <c r="P188" i="23"/>
  <c r="P217" i="23" s="1"/>
  <c r="N238" i="23"/>
  <c r="N336" i="23"/>
  <c r="N338" i="23" s="1"/>
  <c r="N339" i="23" s="1"/>
  <c r="N237" i="23"/>
  <c r="N209" i="23"/>
  <c r="N294" i="23"/>
  <c r="N236" i="23"/>
  <c r="N296" i="23"/>
  <c r="N240" i="23"/>
  <c r="N211" i="23"/>
  <c r="N298" i="23"/>
  <c r="N316" i="23"/>
  <c r="N318" i="23" s="1"/>
  <c r="N319" i="23" s="1"/>
  <c r="N239" i="23"/>
  <c r="N295" i="23"/>
  <c r="N267" i="23"/>
  <c r="N208" i="23"/>
  <c r="N269" i="23"/>
  <c r="N329" i="23"/>
  <c r="N297" i="23"/>
  <c r="N266" i="23"/>
  <c r="N210" i="23"/>
  <c r="N265" i="23"/>
  <c r="N207" i="23"/>
  <c r="N268" i="23"/>
  <c r="N306" i="23"/>
  <c r="N308" i="23" s="1"/>
  <c r="N309" i="23" s="1"/>
  <c r="O219" i="23"/>
  <c r="R86" i="23"/>
  <c r="P260" i="23"/>
  <c r="P289" i="23" s="1"/>
  <c r="P264" i="23"/>
  <c r="P293" i="23" s="1"/>
  <c r="P250" i="23"/>
  <c r="P279" i="23" s="1"/>
  <c r="P190" i="23"/>
  <c r="P219" i="23" s="1"/>
  <c r="P200" i="23"/>
  <c r="P229" i="23" s="1"/>
  <c r="P262" i="23"/>
  <c r="P291" i="23" s="1"/>
  <c r="P253" i="23"/>
  <c r="P189" i="23"/>
  <c r="P194" i="23"/>
  <c r="P223" i="23" s="1"/>
  <c r="P197" i="23"/>
  <c r="P226" i="23" s="1"/>
  <c r="P254" i="23"/>
  <c r="P283" i="23" s="1"/>
  <c r="Q139" i="23"/>
  <c r="Q197" i="23" s="1"/>
  <c r="Q226" i="23" s="1"/>
  <c r="P153" i="23"/>
  <c r="P263" i="23"/>
  <c r="P292" i="23" s="1"/>
  <c r="P193" i="23"/>
  <c r="Q147" i="23"/>
  <c r="Q205" i="23" s="1"/>
  <c r="Q234" i="23" s="1"/>
  <c r="Q136" i="23"/>
  <c r="Q252" i="23" s="1"/>
  <c r="Q281" i="23" s="1"/>
  <c r="Q144" i="23"/>
  <c r="Q260" i="23" s="1"/>
  <c r="Q289" i="23" s="1"/>
  <c r="P261" i="23"/>
  <c r="P290" i="23" s="1"/>
  <c r="P259" i="23"/>
  <c r="P288" i="23" s="1"/>
  <c r="Q132" i="23"/>
  <c r="Q248" i="23" s="1"/>
  <c r="P191" i="23"/>
  <c r="P220" i="23" s="1"/>
  <c r="Q133" i="23"/>
  <c r="Q249" i="23" s="1"/>
  <c r="Q129" i="23"/>
  <c r="Q187" i="23" s="1"/>
  <c r="P150" i="23"/>
  <c r="P257" i="23"/>
  <c r="P286" i="23" s="1"/>
  <c r="Q137" i="23"/>
  <c r="Q195" i="23" s="1"/>
  <c r="Q224" i="23" s="1"/>
  <c r="Q135" i="23"/>
  <c r="Q193" i="23" s="1"/>
  <c r="Q222" i="23" s="1"/>
  <c r="Q138" i="23"/>
  <c r="Q254" i="23" s="1"/>
  <c r="Q283" i="23" s="1"/>
  <c r="Q143" i="23"/>
  <c r="Q201" i="23" s="1"/>
  <c r="Q230" i="23" s="1"/>
  <c r="Q148" i="23"/>
  <c r="Q264" i="23" s="1"/>
  <c r="Q293" i="23" s="1"/>
  <c r="P256" i="23"/>
  <c r="P285" i="23" s="1"/>
  <c r="P187" i="23"/>
  <c r="P151" i="23"/>
  <c r="Q146" i="23"/>
  <c r="Q204" i="23" s="1"/>
  <c r="Q233" i="23" s="1"/>
  <c r="Q140" i="23"/>
  <c r="Q256" i="23" s="1"/>
  <c r="Q285" i="23" s="1"/>
  <c r="Q130" i="23"/>
  <c r="Q141" i="23"/>
  <c r="Q257" i="23" s="1"/>
  <c r="Q286" i="23" s="1"/>
  <c r="Q145" i="23"/>
  <c r="Q203" i="23" s="1"/>
  <c r="Q232" i="23" s="1"/>
  <c r="Q157" i="17"/>
  <c r="AB74" i="23"/>
  <c r="R85" i="23" s="1"/>
  <c r="AB71" i="23"/>
  <c r="R82" i="23" s="1"/>
  <c r="AB69" i="23"/>
  <c r="R80" i="23" s="1"/>
  <c r="AB68" i="23"/>
  <c r="R79" i="23" s="1"/>
  <c r="AB72" i="23"/>
  <c r="R83" i="23" s="1"/>
  <c r="AB75" i="23"/>
  <c r="AB70" i="23"/>
  <c r="R81" i="23" s="1"/>
  <c r="AB73" i="23"/>
  <c r="R84" i="23" s="1"/>
  <c r="P149" i="23"/>
  <c r="P336" i="23" s="1"/>
  <c r="P338" i="23" s="1"/>
  <c r="P152" i="23"/>
  <c r="Q131" i="23"/>
  <c r="Q247" i="23" s="1"/>
  <c r="Q276" i="23" s="1"/>
  <c r="Q142" i="23"/>
  <c r="Q258" i="23" s="1"/>
  <c r="Q287" i="23" s="1"/>
  <c r="Q134" i="23"/>
  <c r="Q250" i="23" s="1"/>
  <c r="Q279" i="23" s="1"/>
  <c r="O339" i="23" l="1"/>
  <c r="P339" i="23" s="1"/>
  <c r="O210" i="23"/>
  <c r="O211" i="23"/>
  <c r="O326" i="23"/>
  <c r="O328" i="23" s="1"/>
  <c r="O329" i="23" s="1"/>
  <c r="O208" i="23"/>
  <c r="O207" i="23"/>
  <c r="O209" i="23"/>
  <c r="O316" i="23"/>
  <c r="O318" i="23" s="1"/>
  <c r="O319" i="23" s="1"/>
  <c r="O306" i="23"/>
  <c r="O308" i="23" s="1"/>
  <c r="O309" i="23" s="1"/>
  <c r="O265" i="23"/>
  <c r="O267" i="23"/>
  <c r="O266" i="23"/>
  <c r="O269" i="23"/>
  <c r="O268" i="23"/>
  <c r="O236" i="23"/>
  <c r="P218" i="23"/>
  <c r="Q278" i="23"/>
  <c r="O238" i="23"/>
  <c r="P216" i="23"/>
  <c r="P282" i="23"/>
  <c r="P294" i="23" s="1"/>
  <c r="Q277" i="23"/>
  <c r="P222" i="23"/>
  <c r="O237" i="23"/>
  <c r="S86" i="23"/>
  <c r="Q202" i="23"/>
  <c r="Q231" i="23" s="1"/>
  <c r="Q263" i="23"/>
  <c r="Q292" i="23" s="1"/>
  <c r="O294" i="23"/>
  <c r="Q255" i="23"/>
  <c r="O240" i="23"/>
  <c r="P208" i="23"/>
  <c r="O239" i="23"/>
  <c r="Q245" i="23"/>
  <c r="Q262" i="23"/>
  <c r="Q291" i="23" s="1"/>
  <c r="O296" i="23"/>
  <c r="Q251" i="23"/>
  <c r="Q198" i="23"/>
  <c r="P209" i="23"/>
  <c r="P210" i="23"/>
  <c r="P207" i="23"/>
  <c r="Q196" i="23"/>
  <c r="P211" i="23"/>
  <c r="Q199" i="23"/>
  <c r="Q206" i="23"/>
  <c r="Q235" i="23" s="1"/>
  <c r="Q253" i="23"/>
  <c r="Q282" i="23" s="1"/>
  <c r="Q200" i="23"/>
  <c r="Q229" i="23" s="1"/>
  <c r="Q191" i="23"/>
  <c r="Q220" i="23" s="1"/>
  <c r="P267" i="23"/>
  <c r="P316" i="23"/>
  <c r="P318" i="23" s="1"/>
  <c r="Q190" i="23"/>
  <c r="Q219" i="23" s="1"/>
  <c r="Q153" i="23"/>
  <c r="Q194" i="23"/>
  <c r="Q223" i="23" s="1"/>
  <c r="P265" i="23"/>
  <c r="Q261" i="23"/>
  <c r="Q290" i="23" s="1"/>
  <c r="Q192" i="23"/>
  <c r="P268" i="23"/>
  <c r="P266" i="23"/>
  <c r="P269" i="23"/>
  <c r="R139" i="23"/>
  <c r="R255" i="23" s="1"/>
  <c r="R284" i="23" s="1"/>
  <c r="R142" i="23"/>
  <c r="R200" i="23" s="1"/>
  <c r="R229" i="23" s="1"/>
  <c r="R141" i="23"/>
  <c r="R199" i="23" s="1"/>
  <c r="R228" i="23" s="1"/>
  <c r="R140" i="23"/>
  <c r="R198" i="23" s="1"/>
  <c r="R227" i="23" s="1"/>
  <c r="R130" i="23"/>
  <c r="R188" i="23" s="1"/>
  <c r="R217" i="23" s="1"/>
  <c r="R134" i="23"/>
  <c r="R250" i="23" s="1"/>
  <c r="R138" i="23"/>
  <c r="R196" i="23" s="1"/>
  <c r="R225" i="23" s="1"/>
  <c r="R148" i="23"/>
  <c r="R264" i="23" s="1"/>
  <c r="R293" i="23" s="1"/>
  <c r="R137" i="23"/>
  <c r="R195" i="23" s="1"/>
  <c r="R224" i="23" s="1"/>
  <c r="R146" i="23"/>
  <c r="R262" i="23" s="1"/>
  <c r="R291" i="23" s="1"/>
  <c r="R143" i="23"/>
  <c r="R201" i="23" s="1"/>
  <c r="R230" i="23" s="1"/>
  <c r="R135" i="23"/>
  <c r="R251" i="23" s="1"/>
  <c r="R280" i="23" s="1"/>
  <c r="Q152" i="23"/>
  <c r="Q189" i="23"/>
  <c r="Q218" i="23" s="1"/>
  <c r="O297" i="23"/>
  <c r="R132" i="23"/>
  <c r="R190" i="23" s="1"/>
  <c r="R219" i="23" s="1"/>
  <c r="R144" i="23"/>
  <c r="R202" i="23" s="1"/>
  <c r="R231" i="23" s="1"/>
  <c r="Q150" i="23"/>
  <c r="O298" i="23"/>
  <c r="P306" i="23"/>
  <c r="P308" i="23" s="1"/>
  <c r="Q149" i="23"/>
  <c r="Q336" i="23" s="1"/>
  <c r="Q338" i="23" s="1"/>
  <c r="P326" i="23"/>
  <c r="P328" i="23" s="1"/>
  <c r="R157" i="17"/>
  <c r="AC70" i="23"/>
  <c r="S81" i="23" s="1"/>
  <c r="AC73" i="23"/>
  <c r="S84" i="23" s="1"/>
  <c r="AC71" i="23"/>
  <c r="S82" i="23" s="1"/>
  <c r="AC72" i="23"/>
  <c r="S83" i="23" s="1"/>
  <c r="AC68" i="23"/>
  <c r="S79" i="23" s="1"/>
  <c r="AC69" i="23"/>
  <c r="S80" i="23" s="1"/>
  <c r="AC74" i="23"/>
  <c r="S85" i="23" s="1"/>
  <c r="AC75" i="23"/>
  <c r="O295" i="23"/>
  <c r="R133" i="23"/>
  <c r="R249" i="23" s="1"/>
  <c r="R278" i="23" s="1"/>
  <c r="Q188" i="23"/>
  <c r="R131" i="23"/>
  <c r="R189" i="23" s="1"/>
  <c r="R218" i="23" s="1"/>
  <c r="Q259" i="23"/>
  <c r="Q288" i="23" s="1"/>
  <c r="R147" i="23"/>
  <c r="R263" i="23" s="1"/>
  <c r="R292" i="23" s="1"/>
  <c r="Q246" i="23"/>
  <c r="R129" i="23"/>
  <c r="R145" i="23"/>
  <c r="R203" i="23" s="1"/>
  <c r="R232" i="23" s="1"/>
  <c r="Q151" i="23"/>
  <c r="R136" i="23"/>
  <c r="R194" i="23" s="1"/>
  <c r="R223" i="23" s="1"/>
  <c r="Q216" i="23"/>
  <c r="P309" i="23" l="1"/>
  <c r="P295" i="23"/>
  <c r="Q339" i="23"/>
  <c r="P296" i="23"/>
  <c r="T86" i="23"/>
  <c r="P329" i="23"/>
  <c r="P298" i="23"/>
  <c r="P297" i="23"/>
  <c r="P237" i="23"/>
  <c r="P239" i="23"/>
  <c r="P319" i="23"/>
  <c r="P240" i="23"/>
  <c r="Q221" i="23"/>
  <c r="P236" i="23"/>
  <c r="P238" i="23"/>
  <c r="Q274" i="23"/>
  <c r="Q225" i="23"/>
  <c r="Q280" i="23"/>
  <c r="Q284" i="23"/>
  <c r="Q275" i="23"/>
  <c r="Q217" i="23"/>
  <c r="R279" i="23"/>
  <c r="Q228" i="23"/>
  <c r="Q227" i="23"/>
  <c r="R257" i="23"/>
  <c r="R204" i="23"/>
  <c r="R233" i="23" s="1"/>
  <c r="R246" i="23"/>
  <c r="R275" i="23" s="1"/>
  <c r="Q267" i="23"/>
  <c r="R258" i="23"/>
  <c r="R287" i="23" s="1"/>
  <c r="R252" i="23"/>
  <c r="R192" i="23"/>
  <c r="R221" i="23" s="1"/>
  <c r="R247" i="23"/>
  <c r="R206" i="23"/>
  <c r="R235" i="23" s="1"/>
  <c r="Q211" i="23"/>
  <c r="Q208" i="23"/>
  <c r="R256" i="23"/>
  <c r="Q268" i="23"/>
  <c r="Q210" i="23"/>
  <c r="Q209" i="23"/>
  <c r="R254" i="23"/>
  <c r="Q266" i="23"/>
  <c r="R193" i="23"/>
  <c r="R248" i="23"/>
  <c r="Q207" i="23"/>
  <c r="R253" i="23"/>
  <c r="R260" i="23"/>
  <c r="R289" i="23" s="1"/>
  <c r="R152" i="23"/>
  <c r="R197" i="23"/>
  <c r="Q269" i="23"/>
  <c r="R261" i="23"/>
  <c r="R290" i="23" s="1"/>
  <c r="R150" i="23"/>
  <c r="Q265" i="23"/>
  <c r="R205" i="23"/>
  <c r="R234" i="23" s="1"/>
  <c r="S147" i="23"/>
  <c r="S263" i="23" s="1"/>
  <c r="S292" i="23" s="1"/>
  <c r="S146" i="23"/>
  <c r="S204" i="23" s="1"/>
  <c r="S233" i="23" s="1"/>
  <c r="S136" i="23"/>
  <c r="S194" i="23" s="1"/>
  <c r="S223" i="23" s="1"/>
  <c r="S139" i="23"/>
  <c r="S255" i="23" s="1"/>
  <c r="S284" i="23" s="1"/>
  <c r="S143" i="23"/>
  <c r="S259" i="23" s="1"/>
  <c r="S288" i="23" s="1"/>
  <c r="S129" i="23"/>
  <c r="S187" i="23" s="1"/>
  <c r="S216" i="23" s="1"/>
  <c r="S145" i="23"/>
  <c r="S261" i="23" s="1"/>
  <c r="S290" i="23" s="1"/>
  <c r="S135" i="23"/>
  <c r="S193" i="23" s="1"/>
  <c r="S222" i="23" s="1"/>
  <c r="S132" i="23"/>
  <c r="S190" i="23" s="1"/>
  <c r="S219" i="23" s="1"/>
  <c r="S144" i="23"/>
  <c r="S260" i="23" s="1"/>
  <c r="S289" i="23" s="1"/>
  <c r="S142" i="23"/>
  <c r="S200" i="23" s="1"/>
  <c r="S229" i="23" s="1"/>
  <c r="S131" i="23"/>
  <c r="S247" i="23" s="1"/>
  <c r="S276" i="23" s="1"/>
  <c r="S137" i="23"/>
  <c r="S195" i="23" s="1"/>
  <c r="S133" i="23"/>
  <c r="S191" i="23" s="1"/>
  <c r="S220" i="23" s="1"/>
  <c r="S141" i="23"/>
  <c r="S199" i="23" s="1"/>
  <c r="S228" i="23" s="1"/>
  <c r="S130" i="23"/>
  <c r="S246" i="23" s="1"/>
  <c r="S275" i="23" s="1"/>
  <c r="S148" i="23"/>
  <c r="S264" i="23" s="1"/>
  <c r="S293" i="23" s="1"/>
  <c r="S134" i="23"/>
  <c r="S192" i="23" s="1"/>
  <c r="S221" i="23" s="1"/>
  <c r="S140" i="23"/>
  <c r="S198" i="23" s="1"/>
  <c r="S227" i="23" s="1"/>
  <c r="S138" i="23"/>
  <c r="S254" i="23" s="1"/>
  <c r="S283" i="23" s="1"/>
  <c r="S157" i="17"/>
  <c r="AD75" i="23"/>
  <c r="AD71" i="23"/>
  <c r="T82" i="23" s="1"/>
  <c r="AD69" i="23"/>
  <c r="T80" i="23" s="1"/>
  <c r="AD70" i="23"/>
  <c r="T81" i="23" s="1"/>
  <c r="AD73" i="23"/>
  <c r="T84" i="23" s="1"/>
  <c r="AD68" i="23"/>
  <c r="T79" i="23" s="1"/>
  <c r="AD72" i="23"/>
  <c r="T83" i="23" s="1"/>
  <c r="AD74" i="23"/>
  <c r="T85" i="23" s="1"/>
  <c r="R259" i="23"/>
  <c r="R288" i="23" s="1"/>
  <c r="Q326" i="23"/>
  <c r="Q328" i="23" s="1"/>
  <c r="R191" i="23"/>
  <c r="R220" i="23" s="1"/>
  <c r="Q316" i="23"/>
  <c r="Q318" i="23" s="1"/>
  <c r="R187" i="23"/>
  <c r="R245" i="23"/>
  <c r="R149" i="23"/>
  <c r="R326" i="23" s="1"/>
  <c r="R328" i="23" s="1"/>
  <c r="R151" i="23"/>
  <c r="Q306" i="23"/>
  <c r="Q308" i="23" s="1"/>
  <c r="R153" i="23"/>
  <c r="Q309" i="23" l="1"/>
  <c r="U86" i="23"/>
  <c r="Q329" i="23"/>
  <c r="R329" i="23" s="1"/>
  <c r="Q294" i="23"/>
  <c r="Q239" i="23"/>
  <c r="Q295" i="23"/>
  <c r="Q296" i="23"/>
  <c r="Q319" i="23"/>
  <c r="Q298" i="23"/>
  <c r="Q238" i="23"/>
  <c r="Q236" i="23"/>
  <c r="R226" i="23"/>
  <c r="R283" i="23"/>
  <c r="R285" i="23"/>
  <c r="R276" i="23"/>
  <c r="Q297" i="23"/>
  <c r="Q237" i="23"/>
  <c r="R216" i="23"/>
  <c r="R277" i="23"/>
  <c r="S224" i="23"/>
  <c r="R222" i="23"/>
  <c r="R281" i="23"/>
  <c r="Q240" i="23"/>
  <c r="R282" i="23"/>
  <c r="R286" i="23"/>
  <c r="S257" i="23"/>
  <c r="S286" i="23" s="1"/>
  <c r="S258" i="23"/>
  <c r="S287" i="23" s="1"/>
  <c r="S252" i="23"/>
  <c r="S281" i="23" s="1"/>
  <c r="S203" i="23"/>
  <c r="S232" i="23" s="1"/>
  <c r="S250" i="23"/>
  <c r="S249" i="23"/>
  <c r="S188" i="23"/>
  <c r="S202" i="23"/>
  <c r="S231" i="23" s="1"/>
  <c r="R267" i="23"/>
  <c r="S256" i="23"/>
  <c r="S285" i="23" s="1"/>
  <c r="R274" i="23"/>
  <c r="S196" i="23"/>
  <c r="S251" i="23"/>
  <c r="T136" i="23"/>
  <c r="T194" i="23" s="1"/>
  <c r="T223" i="23" s="1"/>
  <c r="S197" i="23"/>
  <c r="S226" i="23" s="1"/>
  <c r="S189" i="23"/>
  <c r="S201" i="23"/>
  <c r="S230" i="23" s="1"/>
  <c r="S253" i="23"/>
  <c r="S205" i="23"/>
  <c r="S234" i="23" s="1"/>
  <c r="T143" i="23"/>
  <c r="T259" i="23" s="1"/>
  <c r="T288" i="23" s="1"/>
  <c r="R336" i="23"/>
  <c r="R338" i="23" s="1"/>
  <c r="R339" i="23" s="1"/>
  <c r="R208" i="23"/>
  <c r="T129" i="23"/>
  <c r="T187" i="23" s="1"/>
  <c r="S206" i="23"/>
  <c r="S235" i="23" s="1"/>
  <c r="R306" i="23"/>
  <c r="R308" i="23" s="1"/>
  <c r="R309" i="23" s="1"/>
  <c r="S248" i="23"/>
  <c r="S277" i="23" s="1"/>
  <c r="R209" i="23"/>
  <c r="T138" i="23"/>
  <c r="T196" i="23" s="1"/>
  <c r="T225" i="23" s="1"/>
  <c r="T146" i="23"/>
  <c r="T204" i="23" s="1"/>
  <c r="T233" i="23" s="1"/>
  <c r="T137" i="23"/>
  <c r="T195" i="23" s="1"/>
  <c r="T224" i="23" s="1"/>
  <c r="T144" i="23"/>
  <c r="T260" i="23" s="1"/>
  <c r="T289" i="23" s="1"/>
  <c r="T135" i="23"/>
  <c r="T193" i="23" s="1"/>
  <c r="T222" i="23" s="1"/>
  <c r="R210" i="23"/>
  <c r="T133" i="23"/>
  <c r="T249" i="23" s="1"/>
  <c r="T278" i="23" s="1"/>
  <c r="T131" i="23"/>
  <c r="T189" i="23" s="1"/>
  <c r="T218" i="23" s="1"/>
  <c r="T134" i="23"/>
  <c r="T250" i="23" s="1"/>
  <c r="T279" i="23" s="1"/>
  <c r="S150" i="23"/>
  <c r="R269" i="23"/>
  <c r="R207" i="23"/>
  <c r="S153" i="23"/>
  <c r="S262" i="23"/>
  <c r="S291" i="23" s="1"/>
  <c r="T142" i="23"/>
  <c r="T258" i="23" s="1"/>
  <c r="T287" i="23" s="1"/>
  <c r="T139" i="23"/>
  <c r="T130" i="23"/>
  <c r="T188" i="23" s="1"/>
  <c r="T217" i="23" s="1"/>
  <c r="T148" i="23"/>
  <c r="T206" i="23" s="1"/>
  <c r="T235" i="23" s="1"/>
  <c r="S149" i="23"/>
  <c r="S336" i="23" s="1"/>
  <c r="S338" i="23" s="1"/>
  <c r="S151" i="23"/>
  <c r="R316" i="23"/>
  <c r="R318" i="23" s="1"/>
  <c r="R265" i="23"/>
  <c r="R268" i="23"/>
  <c r="R211" i="23"/>
  <c r="T132" i="23"/>
  <c r="T190" i="23" s="1"/>
  <c r="T219" i="23" s="1"/>
  <c r="T147" i="23"/>
  <c r="T205" i="23" s="1"/>
  <c r="T234" i="23" s="1"/>
  <c r="T145" i="23"/>
  <c r="T203" i="23" s="1"/>
  <c r="T232" i="23" s="1"/>
  <c r="T140" i="23"/>
  <c r="T198" i="23" s="1"/>
  <c r="T227" i="23" s="1"/>
  <c r="R266" i="23"/>
  <c r="T141" i="23"/>
  <c r="T257" i="23" s="1"/>
  <c r="T286" i="23" s="1"/>
  <c r="S152" i="23"/>
  <c r="S245" i="23"/>
  <c r="S274" i="23" s="1"/>
  <c r="T157" i="17"/>
  <c r="AE70" i="23"/>
  <c r="AE74" i="23"/>
  <c r="U85" i="23" s="1"/>
  <c r="AE69" i="23"/>
  <c r="U80" i="23" s="1"/>
  <c r="AE71" i="23"/>
  <c r="U82" i="23" s="1"/>
  <c r="AE73" i="23"/>
  <c r="U84" i="23" s="1"/>
  <c r="AE68" i="23"/>
  <c r="U79" i="23" s="1"/>
  <c r="AE72" i="23"/>
  <c r="U83" i="23" s="1"/>
  <c r="AE75" i="23"/>
  <c r="V86" i="23" l="1"/>
  <c r="R240" i="23"/>
  <c r="R319" i="23"/>
  <c r="R238" i="23"/>
  <c r="R236" i="23"/>
  <c r="R239" i="23"/>
  <c r="R237" i="23"/>
  <c r="S280" i="23"/>
  <c r="S282" i="23"/>
  <c r="S278" i="23"/>
  <c r="S279" i="23"/>
  <c r="S218" i="23"/>
  <c r="S225" i="23"/>
  <c r="R296" i="23"/>
  <c r="S217" i="23"/>
  <c r="T245" i="23"/>
  <c r="T274" i="23" s="1"/>
  <c r="T247" i="23"/>
  <c r="T202" i="23"/>
  <c r="T231" i="23" s="1"/>
  <c r="T253" i="23"/>
  <c r="T282" i="23" s="1"/>
  <c r="R295" i="23"/>
  <c r="S326" i="23"/>
  <c r="S328" i="23" s="1"/>
  <c r="S329" i="23" s="1"/>
  <c r="R294" i="23"/>
  <c r="S339" i="23"/>
  <c r="T263" i="23"/>
  <c r="T292" i="23" s="1"/>
  <c r="R297" i="23"/>
  <c r="T200" i="23"/>
  <c r="T229" i="23" s="1"/>
  <c r="R298" i="23"/>
  <c r="T248" i="23"/>
  <c r="T264" i="23"/>
  <c r="T293" i="23" s="1"/>
  <c r="T252" i="23"/>
  <c r="S208" i="23"/>
  <c r="T254" i="23"/>
  <c r="S211" i="23"/>
  <c r="T201" i="23"/>
  <c r="T230" i="23" s="1"/>
  <c r="S210" i="23"/>
  <c r="S209" i="23"/>
  <c r="T262" i="23"/>
  <c r="T291" i="23" s="1"/>
  <c r="T246" i="23"/>
  <c r="S207" i="23"/>
  <c r="T261" i="23"/>
  <c r="T290" i="23" s="1"/>
  <c r="S306" i="23"/>
  <c r="S308" i="23" s="1"/>
  <c r="S309" i="23" s="1"/>
  <c r="T191" i="23"/>
  <c r="T150" i="23"/>
  <c r="T153" i="23"/>
  <c r="S267" i="23"/>
  <c r="S269" i="23"/>
  <c r="S266" i="23"/>
  <c r="T149" i="23"/>
  <c r="T336" i="23" s="1"/>
  <c r="T338" i="23" s="1"/>
  <c r="S316" i="23"/>
  <c r="S318" i="23" s="1"/>
  <c r="T151" i="23"/>
  <c r="S265" i="23"/>
  <c r="T199" i="23"/>
  <c r="S268" i="23"/>
  <c r="U81" i="23"/>
  <c r="U134" i="23" s="1"/>
  <c r="U250" i="23" s="1"/>
  <c r="U279" i="23" s="1"/>
  <c r="T152" i="23"/>
  <c r="T255" i="23"/>
  <c r="T256" i="23"/>
  <c r="T197" i="23"/>
  <c r="T192" i="23"/>
  <c r="T251" i="23"/>
  <c r="T280" i="23" s="1"/>
  <c r="U157" i="17"/>
  <c r="AF69" i="23"/>
  <c r="V80" i="23" s="1"/>
  <c r="AF75" i="23"/>
  <c r="W86" i="23" s="1"/>
  <c r="AF74" i="23"/>
  <c r="V85" i="23" s="1"/>
  <c r="AF70" i="23"/>
  <c r="AF72" i="23"/>
  <c r="V83" i="23" s="1"/>
  <c r="AF71" i="23"/>
  <c r="V82" i="23" s="1"/>
  <c r="AF68" i="23"/>
  <c r="V79" i="23" s="1"/>
  <c r="AF73" i="23"/>
  <c r="V84" i="23" s="1"/>
  <c r="T216" i="23"/>
  <c r="S238" i="23" l="1"/>
  <c r="S319" i="23"/>
  <c r="S239" i="23"/>
  <c r="S297" i="23"/>
  <c r="S236" i="23"/>
  <c r="S298" i="23"/>
  <c r="S296" i="23"/>
  <c r="S294" i="23"/>
  <c r="S237" i="23"/>
  <c r="S240" i="23"/>
  <c r="S295" i="23"/>
  <c r="T284" i="23"/>
  <c r="T228" i="23"/>
  <c r="T220" i="23"/>
  <c r="T275" i="23"/>
  <c r="T283" i="23"/>
  <c r="T276" i="23"/>
  <c r="T221" i="23"/>
  <c r="T277" i="23"/>
  <c r="T226" i="23"/>
  <c r="T285" i="23"/>
  <c r="T281" i="23"/>
  <c r="U136" i="23"/>
  <c r="U252" i="23" s="1"/>
  <c r="U281" i="23" s="1"/>
  <c r="T326" i="23"/>
  <c r="T328" i="23" s="1"/>
  <c r="T329" i="23" s="1"/>
  <c r="U133" i="23"/>
  <c r="U249" i="23" s="1"/>
  <c r="T339" i="23"/>
  <c r="U147" i="23"/>
  <c r="U263" i="23" s="1"/>
  <c r="U292" i="23" s="1"/>
  <c r="V81" i="23"/>
  <c r="V148" i="23" s="1"/>
  <c r="U140" i="23"/>
  <c r="U135" i="23"/>
  <c r="U148" i="23"/>
  <c r="U130" i="23"/>
  <c r="T269" i="23"/>
  <c r="U146" i="23"/>
  <c r="U204" i="23" s="1"/>
  <c r="U233" i="23" s="1"/>
  <c r="T316" i="23"/>
  <c r="T318" i="23" s="1"/>
  <c r="V136" i="23"/>
  <c r="V194" i="23" s="1"/>
  <c r="V223" i="23" s="1"/>
  <c r="T306" i="23"/>
  <c r="T308" i="23" s="1"/>
  <c r="T309" i="23" s="1"/>
  <c r="T265" i="23"/>
  <c r="U192" i="23"/>
  <c r="U221" i="23" s="1"/>
  <c r="T208" i="23"/>
  <c r="T210" i="23"/>
  <c r="T268" i="23"/>
  <c r="T209" i="23"/>
  <c r="T207" i="23"/>
  <c r="T267" i="23"/>
  <c r="T266" i="23"/>
  <c r="T211" i="23"/>
  <c r="V157" i="17"/>
  <c r="AG74" i="23"/>
  <c r="W85" i="23" s="1"/>
  <c r="AG70" i="23"/>
  <c r="AG75" i="23"/>
  <c r="X86" i="23" s="1"/>
  <c r="AG68" i="23"/>
  <c r="W79" i="23" s="1"/>
  <c r="AG73" i="23"/>
  <c r="W84" i="23" s="1"/>
  <c r="AG69" i="23"/>
  <c r="W80" i="23" s="1"/>
  <c r="AG71" i="23"/>
  <c r="W82" i="23" s="1"/>
  <c r="AG72" i="23"/>
  <c r="W83" i="23" s="1"/>
  <c r="U137" i="23"/>
  <c r="U145" i="23"/>
  <c r="U141" i="23"/>
  <c r="U144" i="23"/>
  <c r="U138" i="23"/>
  <c r="U131" i="23"/>
  <c r="U129" i="23"/>
  <c r="U142" i="23"/>
  <c r="U143" i="23"/>
  <c r="U139" i="23"/>
  <c r="U132" i="23"/>
  <c r="T319" i="23" l="1"/>
  <c r="T298" i="23"/>
  <c r="T296" i="23"/>
  <c r="T236" i="23"/>
  <c r="T294" i="23"/>
  <c r="T295" i="23"/>
  <c r="T239" i="23"/>
  <c r="T238" i="23"/>
  <c r="T297" i="23"/>
  <c r="T240" i="23"/>
  <c r="T237" i="23"/>
  <c r="U194" i="23"/>
  <c r="U191" i="23"/>
  <c r="U278" i="23"/>
  <c r="V252" i="23"/>
  <c r="V143" i="23"/>
  <c r="V201" i="23" s="1"/>
  <c r="V230" i="23" s="1"/>
  <c r="V133" i="23"/>
  <c r="V249" i="23" s="1"/>
  <c r="V278" i="23" s="1"/>
  <c r="W81" i="23"/>
  <c r="W136" i="23" s="1"/>
  <c r="W252" i="23" s="1"/>
  <c r="W281" i="23" s="1"/>
  <c r="V129" i="23"/>
  <c r="V187" i="23" s="1"/>
  <c r="V139" i="23"/>
  <c r="V197" i="23" s="1"/>
  <c r="V226" i="23" s="1"/>
  <c r="V142" i="23"/>
  <c r="V200" i="23" s="1"/>
  <c r="V229" i="23" s="1"/>
  <c r="V145" i="23"/>
  <c r="V203" i="23" s="1"/>
  <c r="V232" i="23" s="1"/>
  <c r="V140" i="23"/>
  <c r="V256" i="23" s="1"/>
  <c r="V285" i="23" s="1"/>
  <c r="V141" i="23"/>
  <c r="V131" i="23"/>
  <c r="V130" i="23"/>
  <c r="V246" i="23" s="1"/>
  <c r="V275" i="23" s="1"/>
  <c r="V137" i="23"/>
  <c r="U205" i="23"/>
  <c r="U234" i="23" s="1"/>
  <c r="V144" i="23"/>
  <c r="V132" i="23"/>
  <c r="V190" i="23" s="1"/>
  <c r="V219" i="23" s="1"/>
  <c r="V134" i="23"/>
  <c r="V192" i="23" s="1"/>
  <c r="V264" i="23"/>
  <c r="V293" i="23" s="1"/>
  <c r="V206" i="23"/>
  <c r="V235" i="23" s="1"/>
  <c r="U193" i="23"/>
  <c r="U251" i="23"/>
  <c r="U256" i="23"/>
  <c r="U198" i="23"/>
  <c r="U188" i="23"/>
  <c r="U246" i="23"/>
  <c r="V147" i="23"/>
  <c r="V205" i="23" s="1"/>
  <c r="V234" i="23" s="1"/>
  <c r="V146" i="23"/>
  <c r="V204" i="23" s="1"/>
  <c r="V233" i="23" s="1"/>
  <c r="V135" i="23"/>
  <c r="V193" i="23" s="1"/>
  <c r="V222" i="23" s="1"/>
  <c r="V138" i="23"/>
  <c r="U264" i="23"/>
  <c r="U293" i="23" s="1"/>
  <c r="U206" i="23"/>
  <c r="U235" i="23" s="1"/>
  <c r="U262" i="23"/>
  <c r="U291" i="23" s="1"/>
  <c r="U199" i="23"/>
  <c r="U257" i="23"/>
  <c r="U259" i="23"/>
  <c r="U288" i="23" s="1"/>
  <c r="U201" i="23"/>
  <c r="U230" i="23" s="1"/>
  <c r="U196" i="23"/>
  <c r="U254" i="23"/>
  <c r="U195" i="23"/>
  <c r="U253" i="23"/>
  <c r="U248" i="23"/>
  <c r="U190" i="23"/>
  <c r="U153" i="23"/>
  <c r="U187" i="23"/>
  <c r="U149" i="23"/>
  <c r="U152" i="23"/>
  <c r="U150" i="23"/>
  <c r="U245" i="23"/>
  <c r="U151" i="23"/>
  <c r="U197" i="23"/>
  <c r="U255" i="23"/>
  <c r="U247" i="23"/>
  <c r="U189" i="23"/>
  <c r="U261" i="23"/>
  <c r="U290" i="23" s="1"/>
  <c r="U203" i="23"/>
  <c r="U232" i="23" s="1"/>
  <c r="U258" i="23"/>
  <c r="U287" i="23" s="1"/>
  <c r="U200" i="23"/>
  <c r="U229" i="23" s="1"/>
  <c r="U202" i="23"/>
  <c r="U231" i="23" s="1"/>
  <c r="U260" i="23"/>
  <c r="U289" i="23" s="1"/>
  <c r="W157" i="17"/>
  <c r="AH69" i="23"/>
  <c r="X80" i="23" s="1"/>
  <c r="AH70" i="23"/>
  <c r="AH71" i="23"/>
  <c r="X82" i="23" s="1"/>
  <c r="AH72" i="23"/>
  <c r="X83" i="23" s="1"/>
  <c r="AH75" i="23"/>
  <c r="Y86" i="23" s="1"/>
  <c r="AH73" i="23"/>
  <c r="X84" i="23" s="1"/>
  <c r="AH74" i="23"/>
  <c r="X85" i="23" s="1"/>
  <c r="AH68" i="23"/>
  <c r="X79" i="23" s="1"/>
  <c r="V245" i="23" l="1"/>
  <c r="V274" i="23" s="1"/>
  <c r="U276" i="23"/>
  <c r="U282" i="23"/>
  <c r="U228" i="23"/>
  <c r="U226" i="23"/>
  <c r="U219" i="23"/>
  <c r="U283" i="23"/>
  <c r="U227" i="23"/>
  <c r="U220" i="23"/>
  <c r="U218" i="23"/>
  <c r="U277" i="23"/>
  <c r="U225" i="23"/>
  <c r="U286" i="23"/>
  <c r="U285" i="23"/>
  <c r="U275" i="23"/>
  <c r="U280" i="23"/>
  <c r="V221" i="23"/>
  <c r="V281" i="23"/>
  <c r="U223" i="23"/>
  <c r="U284" i="23"/>
  <c r="U224" i="23"/>
  <c r="U217" i="23"/>
  <c r="U222" i="23"/>
  <c r="V188" i="23"/>
  <c r="V217" i="23" s="1"/>
  <c r="W129" i="23"/>
  <c r="W187" i="23" s="1"/>
  <c r="W216" i="23" s="1"/>
  <c r="W146" i="23"/>
  <c r="W262" i="23" s="1"/>
  <c r="W291" i="23" s="1"/>
  <c r="X81" i="23"/>
  <c r="X130" i="23" s="1"/>
  <c r="W132" i="23"/>
  <c r="W248" i="23" s="1"/>
  <c r="W277" i="23" s="1"/>
  <c r="W143" i="23"/>
  <c r="W201" i="23" s="1"/>
  <c r="W230" i="23" s="1"/>
  <c r="W133" i="23"/>
  <c r="W249" i="23" s="1"/>
  <c r="W148" i="23"/>
  <c r="W264" i="23" s="1"/>
  <c r="W293" i="23" s="1"/>
  <c r="W140" i="23"/>
  <c r="W198" i="23" s="1"/>
  <c r="W227" i="23" s="1"/>
  <c r="W139" i="23"/>
  <c r="W255" i="23" s="1"/>
  <c r="W284" i="23" s="1"/>
  <c r="W131" i="23"/>
  <c r="W189" i="23" s="1"/>
  <c r="W218" i="23" s="1"/>
  <c r="W144" i="23"/>
  <c r="W202" i="23" s="1"/>
  <c r="W231" i="23" s="1"/>
  <c r="W138" i="23"/>
  <c r="W254" i="23" s="1"/>
  <c r="W283" i="23" s="1"/>
  <c r="V191" i="23"/>
  <c r="V220" i="23" s="1"/>
  <c r="V259" i="23"/>
  <c r="V288" i="23" s="1"/>
  <c r="V198" i="23"/>
  <c r="V227" i="23" s="1"/>
  <c r="V262" i="23"/>
  <c r="V291" i="23" s="1"/>
  <c r="W135" i="23"/>
  <c r="W251" i="23" s="1"/>
  <c r="W280" i="23" s="1"/>
  <c r="W145" i="23"/>
  <c r="W261" i="23" s="1"/>
  <c r="W290" i="23" s="1"/>
  <c r="W142" i="23"/>
  <c r="W258" i="23" s="1"/>
  <c r="W287" i="23" s="1"/>
  <c r="W147" i="23"/>
  <c r="W263" i="23" s="1"/>
  <c r="W292" i="23" s="1"/>
  <c r="W134" i="23"/>
  <c r="V261" i="23"/>
  <c r="V290" i="23" s="1"/>
  <c r="W141" i="23"/>
  <c r="W199" i="23" s="1"/>
  <c r="W228" i="23" s="1"/>
  <c r="V248" i="23"/>
  <c r="V277" i="23" s="1"/>
  <c r="W137" i="23"/>
  <c r="W195" i="23" s="1"/>
  <c r="W224" i="23" s="1"/>
  <c r="W130" i="23"/>
  <c r="W188" i="23" s="1"/>
  <c r="W217" i="23" s="1"/>
  <c r="V255" i="23"/>
  <c r="V284" i="23" s="1"/>
  <c r="V247" i="23"/>
  <c r="V276" i="23" s="1"/>
  <c r="V189" i="23"/>
  <c r="V218" i="23" s="1"/>
  <c r="V258" i="23"/>
  <c r="V287" i="23" s="1"/>
  <c r="V253" i="23"/>
  <c r="V282" i="23" s="1"/>
  <c r="V195" i="23"/>
  <c r="V224" i="23" s="1"/>
  <c r="V260" i="23"/>
  <c r="V289" i="23" s="1"/>
  <c r="V202" i="23"/>
  <c r="V231" i="23" s="1"/>
  <c r="V149" i="23"/>
  <c r="V326" i="23" s="1"/>
  <c r="V328" i="23" s="1"/>
  <c r="V250" i="23"/>
  <c r="V251" i="23"/>
  <c r="V280" i="23" s="1"/>
  <c r="V199" i="23"/>
  <c r="V228" i="23" s="1"/>
  <c r="V257" i="23"/>
  <c r="V286" i="23" s="1"/>
  <c r="V150" i="23"/>
  <c r="V151" i="23"/>
  <c r="V153" i="23"/>
  <c r="V152" i="23"/>
  <c r="V263" i="23"/>
  <c r="V292" i="23" s="1"/>
  <c r="V196" i="23"/>
  <c r="V254" i="23"/>
  <c r="V283" i="23" s="1"/>
  <c r="W194" i="23"/>
  <c r="W223" i="23" s="1"/>
  <c r="U326" i="23"/>
  <c r="U328" i="23" s="1"/>
  <c r="U329" i="23" s="1"/>
  <c r="U306" i="23"/>
  <c r="U308" i="23" s="1"/>
  <c r="U309" i="23" s="1"/>
  <c r="U316" i="23"/>
  <c r="U318" i="23" s="1"/>
  <c r="U319" i="23" s="1"/>
  <c r="V216" i="23"/>
  <c r="AI69" i="23"/>
  <c r="Y80" i="23" s="1"/>
  <c r="AI75" i="23"/>
  <c r="AI73" i="23"/>
  <c r="Y84" i="23" s="1"/>
  <c r="AI68" i="23"/>
  <c r="Y79" i="23" s="1"/>
  <c r="AI70" i="23"/>
  <c r="AI74" i="23"/>
  <c r="Y85" i="23" s="1"/>
  <c r="AI71" i="23"/>
  <c r="Y82" i="23" s="1"/>
  <c r="AI72" i="23"/>
  <c r="Y83" i="23" s="1"/>
  <c r="U336" i="23"/>
  <c r="U338" i="23" s="1"/>
  <c r="U339" i="23" s="1"/>
  <c r="U269" i="23"/>
  <c r="U267" i="23"/>
  <c r="U268" i="23"/>
  <c r="U266" i="23"/>
  <c r="U274" i="23"/>
  <c r="U265" i="23"/>
  <c r="U211" i="23"/>
  <c r="U216" i="23"/>
  <c r="U210" i="23"/>
  <c r="U207" i="23"/>
  <c r="U209" i="23"/>
  <c r="U208" i="23"/>
  <c r="W256" i="23" l="1"/>
  <c r="W285" i="23" s="1"/>
  <c r="V279" i="23"/>
  <c r="V298" i="23" s="1"/>
  <c r="W278" i="23"/>
  <c r="W245" i="23"/>
  <c r="W274" i="23" s="1"/>
  <c r="W190" i="23"/>
  <c r="W219" i="23" s="1"/>
  <c r="W196" i="23"/>
  <c r="W225" i="23" s="1"/>
  <c r="W204" i="23"/>
  <c r="W233" i="23" s="1"/>
  <c r="W247" i="23"/>
  <c r="X137" i="23"/>
  <c r="X253" i="23" s="1"/>
  <c r="X282" i="23" s="1"/>
  <c r="W206" i="23"/>
  <c r="W235" i="23" s="1"/>
  <c r="X145" i="23"/>
  <c r="X203" i="23" s="1"/>
  <c r="X232" i="23" s="1"/>
  <c r="X144" i="23"/>
  <c r="X202" i="23" s="1"/>
  <c r="X231" i="23" s="1"/>
  <c r="X131" i="23"/>
  <c r="X247" i="23" s="1"/>
  <c r="X276" i="23" s="1"/>
  <c r="X129" i="23"/>
  <c r="X245" i="23" s="1"/>
  <c r="X274" i="23" s="1"/>
  <c r="V336" i="23"/>
  <c r="V338" i="23" s="1"/>
  <c r="V339" i="23" s="1"/>
  <c r="W253" i="23"/>
  <c r="W282" i="23" s="1"/>
  <c r="W246" i="23"/>
  <c r="X147" i="23"/>
  <c r="X205" i="23" s="1"/>
  <c r="X234" i="23" s="1"/>
  <c r="X133" i="23"/>
  <c r="X249" i="23" s="1"/>
  <c r="X278" i="23" s="1"/>
  <c r="X138" i="23"/>
  <c r="X254" i="23" s="1"/>
  <c r="X142" i="23"/>
  <c r="X258" i="23" s="1"/>
  <c r="X287" i="23" s="1"/>
  <c r="X132" i="23"/>
  <c r="X248" i="23" s="1"/>
  <c r="X246" i="23"/>
  <c r="X275" i="23" s="1"/>
  <c r="X188" i="23"/>
  <c r="W260" i="23"/>
  <c r="W289" i="23" s="1"/>
  <c r="X140" i="23"/>
  <c r="X256" i="23" s="1"/>
  <c r="X135" i="23"/>
  <c r="X251" i="23" s="1"/>
  <c r="X280" i="23" s="1"/>
  <c r="W197" i="23"/>
  <c r="X148" i="23"/>
  <c r="X264" i="23" s="1"/>
  <c r="X293" i="23" s="1"/>
  <c r="X139" i="23"/>
  <c r="X255" i="23" s="1"/>
  <c r="X284" i="23" s="1"/>
  <c r="W205" i="23"/>
  <c r="W234" i="23" s="1"/>
  <c r="W203" i="23"/>
  <c r="W232" i="23" s="1"/>
  <c r="Y81" i="23"/>
  <c r="Y135" i="23" s="1"/>
  <c r="Y193" i="23" s="1"/>
  <c r="Y222" i="23" s="1"/>
  <c r="X143" i="23"/>
  <c r="X259" i="23" s="1"/>
  <c r="X288" i="23" s="1"/>
  <c r="X136" i="23"/>
  <c r="X252" i="23" s="1"/>
  <c r="X134" i="23"/>
  <c r="X192" i="23" s="1"/>
  <c r="X221" i="23" s="1"/>
  <c r="X146" i="23"/>
  <c r="X141" i="23"/>
  <c r="X199" i="23" s="1"/>
  <c r="X228" i="23" s="1"/>
  <c r="W257" i="23"/>
  <c r="W286" i="23" s="1"/>
  <c r="W259" i="23"/>
  <c r="W288" i="23" s="1"/>
  <c r="W191" i="23"/>
  <c r="W220" i="23" s="1"/>
  <c r="V295" i="23"/>
  <c r="W151" i="23"/>
  <c r="W149" i="23"/>
  <c r="W326" i="23" s="1"/>
  <c r="W328" i="23" s="1"/>
  <c r="W153" i="23"/>
  <c r="V211" i="23"/>
  <c r="W152" i="23"/>
  <c r="W200" i="23"/>
  <c r="W229" i="23" s="1"/>
  <c r="W250" i="23"/>
  <c r="W192" i="23"/>
  <c r="W150" i="23"/>
  <c r="W193" i="23"/>
  <c r="V316" i="23"/>
  <c r="V318" i="23" s="1"/>
  <c r="V319" i="23" s="1"/>
  <c r="V306" i="23"/>
  <c r="V308" i="23" s="1"/>
  <c r="V309" i="23" s="1"/>
  <c r="V329" i="23"/>
  <c r="V268" i="23"/>
  <c r="V210" i="23"/>
  <c r="V266" i="23"/>
  <c r="V225" i="23"/>
  <c r="V238" i="23" s="1"/>
  <c r="V208" i="23"/>
  <c r="V207" i="23"/>
  <c r="V265" i="23"/>
  <c r="V267" i="23"/>
  <c r="V269" i="23"/>
  <c r="V209" i="23"/>
  <c r="U296" i="23"/>
  <c r="U298" i="23"/>
  <c r="U294" i="23"/>
  <c r="U297" i="23"/>
  <c r="U295" i="23"/>
  <c r="U238" i="23"/>
  <c r="U236" i="23"/>
  <c r="U240" i="23"/>
  <c r="U237" i="23"/>
  <c r="U239" i="23"/>
  <c r="Y131" i="23" l="1"/>
  <c r="Y189" i="23" s="1"/>
  <c r="Y218" i="23" s="1"/>
  <c r="V296" i="23"/>
  <c r="W226" i="23"/>
  <c r="X217" i="23"/>
  <c r="X283" i="23"/>
  <c r="W221" i="23"/>
  <c r="X281" i="23"/>
  <c r="W276" i="23"/>
  <c r="X285" i="23"/>
  <c r="X277" i="23"/>
  <c r="V297" i="23"/>
  <c r="W222" i="23"/>
  <c r="V294" i="23"/>
  <c r="W275" i="23"/>
  <c r="X198" i="23"/>
  <c r="X227" i="23" s="1"/>
  <c r="X260" i="23"/>
  <c r="X289" i="23" s="1"/>
  <c r="Y137" i="23"/>
  <c r="Y195" i="23" s="1"/>
  <c r="Y142" i="23"/>
  <c r="Y200" i="23" s="1"/>
  <c r="Y229" i="23" s="1"/>
  <c r="Y133" i="23"/>
  <c r="Y249" i="23" s="1"/>
  <c r="Y141" i="23"/>
  <c r="Y199" i="23" s="1"/>
  <c r="Y140" i="23"/>
  <c r="Y198" i="23" s="1"/>
  <c r="X261" i="23"/>
  <c r="X290" i="23" s="1"/>
  <c r="X196" i="23"/>
  <c r="Y130" i="23"/>
  <c r="Y188" i="23" s="1"/>
  <c r="Y129" i="23"/>
  <c r="Y187" i="23" s="1"/>
  <c r="X190" i="23"/>
  <c r="X219" i="23" s="1"/>
  <c r="X263" i="23"/>
  <c r="X292" i="23" s="1"/>
  <c r="X195" i="23"/>
  <c r="X224" i="23" s="1"/>
  <c r="Y138" i="23"/>
  <c r="Y254" i="23" s="1"/>
  <c r="Y143" i="23"/>
  <c r="Y259" i="23" s="1"/>
  <c r="Y288" i="23" s="1"/>
  <c r="X191" i="23"/>
  <c r="X220" i="23" s="1"/>
  <c r="X200" i="23"/>
  <c r="X229" i="23" s="1"/>
  <c r="X187" i="23"/>
  <c r="X216" i="23" s="1"/>
  <c r="Y146" i="23"/>
  <c r="Y262" i="23" s="1"/>
  <c r="Y291" i="23" s="1"/>
  <c r="Y145" i="23"/>
  <c r="Y261" i="23" s="1"/>
  <c r="Y290" i="23" s="1"/>
  <c r="Y134" i="23"/>
  <c r="Y250" i="23" s="1"/>
  <c r="Y148" i="23"/>
  <c r="Y206" i="23" s="1"/>
  <c r="Y235" i="23" s="1"/>
  <c r="X194" i="23"/>
  <c r="X223" i="23" s="1"/>
  <c r="X149" i="23"/>
  <c r="X336" i="23" s="1"/>
  <c r="X338" i="23" s="1"/>
  <c r="X150" i="23"/>
  <c r="X193" i="23"/>
  <c r="X222" i="23" s="1"/>
  <c r="X189" i="23"/>
  <c r="X218" i="23" s="1"/>
  <c r="W336" i="23"/>
  <c r="W338" i="23" s="1"/>
  <c r="W339" i="23" s="1"/>
  <c r="X153" i="23"/>
  <c r="Y147" i="23"/>
  <c r="Y263" i="23" s="1"/>
  <c r="Y292" i="23" s="1"/>
  <c r="Y136" i="23"/>
  <c r="Y194" i="23" s="1"/>
  <c r="Y132" i="23"/>
  <c r="Y248" i="23" s="1"/>
  <c r="Y139" i="23"/>
  <c r="Y197" i="23" s="1"/>
  <c r="Y144" i="23"/>
  <c r="Y260" i="23" s="1"/>
  <c r="Y289" i="23" s="1"/>
  <c r="X257" i="23"/>
  <c r="X286" i="23" s="1"/>
  <c r="W267" i="23"/>
  <c r="W329" i="23"/>
  <c r="X201" i="23"/>
  <c r="X230" i="23" s="1"/>
  <c r="X250" i="23"/>
  <c r="X279" i="23" s="1"/>
  <c r="X206" i="23"/>
  <c r="X235" i="23" s="1"/>
  <c r="X197" i="23"/>
  <c r="X226" i="23" s="1"/>
  <c r="X152" i="23"/>
  <c r="X151" i="23"/>
  <c r="X204" i="23"/>
  <c r="X233" i="23" s="1"/>
  <c r="X262" i="23"/>
  <c r="X291" i="23" s="1"/>
  <c r="W269" i="23"/>
  <c r="Y251" i="23"/>
  <c r="W208" i="23"/>
  <c r="W211" i="23"/>
  <c r="W306" i="23"/>
  <c r="W308" i="23" s="1"/>
  <c r="W309" i="23" s="1"/>
  <c r="W207" i="23"/>
  <c r="W266" i="23"/>
  <c r="W268" i="23"/>
  <c r="W279" i="23"/>
  <c r="W265" i="23"/>
  <c r="W210" i="23"/>
  <c r="W209" i="23"/>
  <c r="W316" i="23"/>
  <c r="W318" i="23" s="1"/>
  <c r="W319" i="23" s="1"/>
  <c r="V237" i="23"/>
  <c r="V240" i="23"/>
  <c r="V239" i="23"/>
  <c r="V236" i="23"/>
  <c r="Y247" i="23" l="1"/>
  <c r="Y276" i="23" s="1"/>
  <c r="Y191" i="23"/>
  <c r="Y220" i="23" s="1"/>
  <c r="Y245" i="23"/>
  <c r="Y274" i="23" s="1"/>
  <c r="Y204" i="23"/>
  <c r="Y233" i="23" s="1"/>
  <c r="W236" i="23"/>
  <c r="R9" i="23"/>
  <c r="Y201" i="23"/>
  <c r="Y230" i="23" s="1"/>
  <c r="Q9" i="23"/>
  <c r="K346" i="23" s="1"/>
  <c r="W237" i="23"/>
  <c r="W240" i="23"/>
  <c r="Y280" i="23"/>
  <c r="U13" i="23"/>
  <c r="I350" i="23" s="1"/>
  <c r="J350" i="23" s="1"/>
  <c r="T13" i="23"/>
  <c r="Y283" i="23"/>
  <c r="T16" i="23"/>
  <c r="R13" i="23"/>
  <c r="W239" i="23"/>
  <c r="W238" i="23"/>
  <c r="Y226" i="23"/>
  <c r="R17" i="23"/>
  <c r="Y279" i="23"/>
  <c r="U12" i="23"/>
  <c r="I349" i="23" s="1"/>
  <c r="J349" i="23" s="1"/>
  <c r="Y216" i="23"/>
  <c r="R7" i="23"/>
  <c r="Q7" i="23"/>
  <c r="K344" i="23" s="1"/>
  <c r="Y227" i="23"/>
  <c r="Q18" i="23"/>
  <c r="K355" i="23" s="1"/>
  <c r="R18" i="23"/>
  <c r="Y224" i="23"/>
  <c r="Q15" i="23"/>
  <c r="K352" i="23" s="1"/>
  <c r="R15" i="23"/>
  <c r="Q13" i="23"/>
  <c r="K350" i="23" s="1"/>
  <c r="U16" i="23"/>
  <c r="I353" i="23" s="1"/>
  <c r="J353" i="23" s="1"/>
  <c r="Q17" i="23"/>
  <c r="K354" i="23" s="1"/>
  <c r="Y277" i="23"/>
  <c r="T10" i="23"/>
  <c r="Y217" i="23"/>
  <c r="R8" i="23"/>
  <c r="Y228" i="23"/>
  <c r="Q19" i="23"/>
  <c r="K356" i="23" s="1"/>
  <c r="R19" i="23"/>
  <c r="Y223" i="23"/>
  <c r="R14" i="23"/>
  <c r="Q14" i="23"/>
  <c r="K351" i="23" s="1"/>
  <c r="X225" i="23"/>
  <c r="X240" i="23" s="1"/>
  <c r="Y278" i="23"/>
  <c r="T11" i="23"/>
  <c r="U11" i="23"/>
  <c r="I348" i="23" s="1"/>
  <c r="J348" i="23" s="1"/>
  <c r="U10" i="23"/>
  <c r="I347" i="23" s="1"/>
  <c r="J347" i="23" s="1"/>
  <c r="Q8" i="23"/>
  <c r="K345" i="23" s="1"/>
  <c r="T12" i="23"/>
  <c r="Y253" i="23"/>
  <c r="Y256" i="23"/>
  <c r="Y258" i="23"/>
  <c r="Y287" i="23" s="1"/>
  <c r="X339" i="23"/>
  <c r="X326" i="23"/>
  <c r="X328" i="23" s="1"/>
  <c r="X329" i="23" s="1"/>
  <c r="Y257" i="23"/>
  <c r="Y252" i="23"/>
  <c r="Y190" i="23"/>
  <c r="Y264" i="23"/>
  <c r="Y293" i="23" s="1"/>
  <c r="X296" i="23"/>
  <c r="Y151" i="23"/>
  <c r="Y192" i="23"/>
  <c r="Y255" i="23"/>
  <c r="Y149" i="23"/>
  <c r="Y326" i="23" s="1"/>
  <c r="Y328" i="23" s="1"/>
  <c r="Y246" i="23"/>
  <c r="X294" i="23"/>
  <c r="Y203" i="23"/>
  <c r="Y232" i="23" s="1"/>
  <c r="Y196" i="23"/>
  <c r="X297" i="23"/>
  <c r="Y153" i="23"/>
  <c r="X298" i="23"/>
  <c r="X265" i="23"/>
  <c r="X269" i="23"/>
  <c r="X295" i="23"/>
  <c r="Y152" i="23"/>
  <c r="X268" i="23"/>
  <c r="Y202" i="23"/>
  <c r="Y231" i="23" s="1"/>
  <c r="X306" i="23"/>
  <c r="X308" i="23" s="1"/>
  <c r="X309" i="23" s="1"/>
  <c r="Y150" i="23"/>
  <c r="Y205" i="23"/>
  <c r="Y234" i="23" s="1"/>
  <c r="X266" i="23"/>
  <c r="X267" i="23"/>
  <c r="X208" i="23"/>
  <c r="X211" i="23"/>
  <c r="X209" i="23"/>
  <c r="X207" i="23"/>
  <c r="X316" i="23"/>
  <c r="X318" i="23" s="1"/>
  <c r="X319" i="23" s="1"/>
  <c r="X210" i="23"/>
  <c r="W294" i="23"/>
  <c r="W297" i="23"/>
  <c r="W295" i="23"/>
  <c r="W298" i="23"/>
  <c r="W296" i="23"/>
  <c r="U9" i="23" l="1"/>
  <c r="I346" i="23" s="1"/>
  <c r="J346" i="23" s="1"/>
  <c r="T9" i="23"/>
  <c r="R11" i="23"/>
  <c r="Q11" i="23"/>
  <c r="K348" i="23" s="1"/>
  <c r="T7" i="23"/>
  <c r="U7" i="23"/>
  <c r="I344" i="23" s="1"/>
  <c r="J344" i="23" s="1"/>
  <c r="X237" i="23"/>
  <c r="X239" i="23"/>
  <c r="Y225" i="23"/>
  <c r="Q16" i="23"/>
  <c r="K353" i="23" s="1"/>
  <c r="X236" i="23"/>
  <c r="Y281" i="23"/>
  <c r="U14" i="23"/>
  <c r="I351" i="23" s="1"/>
  <c r="J351" i="23" s="1"/>
  <c r="T14" i="23"/>
  <c r="Y275" i="23"/>
  <c r="U8" i="23"/>
  <c r="I345" i="23" s="1"/>
  <c r="J345" i="23" s="1"/>
  <c r="T8" i="23"/>
  <c r="Y219" i="23"/>
  <c r="R10" i="23"/>
  <c r="Q10" i="23"/>
  <c r="K347" i="23" s="1"/>
  <c r="Y284" i="23"/>
  <c r="T17" i="23"/>
  <c r="U17" i="23"/>
  <c r="I354" i="23" s="1"/>
  <c r="J354" i="23" s="1"/>
  <c r="Y286" i="23"/>
  <c r="U19" i="23"/>
  <c r="I356" i="23" s="1"/>
  <c r="J356" i="23" s="1"/>
  <c r="T19" i="23"/>
  <c r="Y285" i="23"/>
  <c r="T18" i="23"/>
  <c r="U18" i="23"/>
  <c r="I355" i="23" s="1"/>
  <c r="J355" i="23" s="1"/>
  <c r="X238" i="23"/>
  <c r="Y221" i="23"/>
  <c r="R12" i="23"/>
  <c r="Q12" i="23"/>
  <c r="K349" i="23" s="1"/>
  <c r="Y282" i="23"/>
  <c r="T15" i="23"/>
  <c r="U15" i="23"/>
  <c r="I352" i="23" s="1"/>
  <c r="J352" i="23" s="1"/>
  <c r="R16" i="23"/>
  <c r="Y266" i="23"/>
  <c r="Y329" i="23"/>
  <c r="Y207" i="23"/>
  <c r="Y210" i="23"/>
  <c r="Y267" i="23"/>
  <c r="Y316" i="23"/>
  <c r="Y318" i="23" s="1"/>
  <c r="Y319" i="23" s="1"/>
  <c r="Y268" i="23"/>
  <c r="Y336" i="23"/>
  <c r="Y338" i="23" s="1"/>
  <c r="Y339" i="23" s="1"/>
  <c r="Y269" i="23"/>
  <c r="Y265" i="23"/>
  <c r="Y211" i="23"/>
  <c r="Y306" i="23"/>
  <c r="Y308" i="23" s="1"/>
  <c r="Y309" i="23" s="1"/>
  <c r="Y209" i="23"/>
  <c r="Y208" i="23"/>
  <c r="Y237" i="23" l="1"/>
  <c r="Y236" i="23"/>
  <c r="Y240" i="23"/>
  <c r="Y294" i="23"/>
  <c r="Y297" i="23"/>
  <c r="Q6" i="23"/>
  <c r="N64" i="16" s="1"/>
  <c r="AD141" i="16" s="1"/>
  <c r="R6" i="23"/>
  <c r="O64" i="16" s="1"/>
  <c r="AG141" i="16" s="1"/>
  <c r="N68" i="16"/>
  <c r="O68" i="16"/>
  <c r="Y295" i="23"/>
  <c r="Q68" i="16"/>
  <c r="R68" i="16"/>
  <c r="Y238" i="23"/>
  <c r="Y239" i="23"/>
  <c r="K364" i="23"/>
  <c r="F353" i="23" s="1"/>
  <c r="O65" i="16"/>
  <c r="AG138" i="16" s="1"/>
  <c r="N65" i="16"/>
  <c r="AD138" i="16" s="1"/>
  <c r="Q67" i="16"/>
  <c r="AE140" i="16" s="1"/>
  <c r="R67" i="16"/>
  <c r="AH140" i="16" s="1"/>
  <c r="Y296" i="23"/>
  <c r="R66" i="16"/>
  <c r="AH139" i="16" s="1"/>
  <c r="Q66" i="16"/>
  <c r="AE139" i="16" s="1"/>
  <c r="I365" i="23" a="1"/>
  <c r="I365" i="23" s="1"/>
  <c r="N66" i="16"/>
  <c r="AD139" i="16" s="1"/>
  <c r="O66" i="16"/>
  <c r="AG139" i="16" s="1"/>
  <c r="U6" i="23"/>
  <c r="R64" i="16" s="1"/>
  <c r="AH141" i="16" s="1"/>
  <c r="T6" i="23"/>
  <c r="Q64" i="16" s="1"/>
  <c r="AE141" i="16" s="1"/>
  <c r="Y298" i="23"/>
  <c r="O67" i="16"/>
  <c r="AG140" i="16" s="1"/>
  <c r="N67" i="16"/>
  <c r="AD140" i="16" s="1"/>
  <c r="Q65" i="16"/>
  <c r="AE138" i="16" s="1"/>
  <c r="R65" i="16"/>
  <c r="AH138" i="16" s="1"/>
  <c r="F349" i="23" l="1"/>
  <c r="F347" i="23"/>
  <c r="F359" i="23"/>
  <c r="F363" i="23"/>
  <c r="F360" i="23"/>
  <c r="F358" i="23"/>
  <c r="F361" i="23"/>
  <c r="F362" i="23"/>
  <c r="F357" i="23"/>
  <c r="F346" i="23"/>
  <c r="F348" i="23"/>
  <c r="F345" i="23"/>
  <c r="F354" i="23"/>
  <c r="F351" i="23"/>
  <c r="F350" i="23"/>
  <c r="F352" i="23"/>
  <c r="F355" i="23"/>
  <c r="F356" i="23"/>
  <c r="F34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T68" authorId="0" shapeId="0" xr:uid="{00000000-0006-0000-0600-000001000000}">
      <text>
        <r>
          <rPr>
            <b/>
            <sz val="9"/>
            <color indexed="81"/>
            <rFont val="Tahoma"/>
            <family val="2"/>
          </rPr>
          <t>Auteur:</t>
        </r>
        <r>
          <rPr>
            <sz val="9"/>
            <color indexed="81"/>
            <rFont val="Tahoma"/>
            <family val="2"/>
          </rPr>
          <t xml:space="preserve">
moyenne jusqu'à mai</t>
        </r>
      </text>
    </comment>
  </commentList>
</comments>
</file>

<file path=xl/sharedStrings.xml><?xml version="1.0" encoding="utf-8"?>
<sst xmlns="http://schemas.openxmlformats.org/spreadsheetml/2006/main" count="1508" uniqueCount="428">
  <si>
    <t>€/tonne</t>
  </si>
  <si>
    <t>$/bl</t>
  </si>
  <si>
    <t>€</t>
  </si>
  <si>
    <t>€/kWh</t>
  </si>
  <si>
    <t>Raw data</t>
  </si>
  <si>
    <t>Eurostat</t>
  </si>
  <si>
    <t>transformed data</t>
  </si>
  <si>
    <t xml:space="preserve">€/kWh </t>
  </si>
  <si>
    <t>Energie</t>
  </si>
  <si>
    <t>Source</t>
  </si>
  <si>
    <t>Unité</t>
  </si>
  <si>
    <t>Pegase</t>
  </si>
  <si>
    <t>Fioul TBTS</t>
  </si>
  <si>
    <t>MWh PCI / tonne</t>
  </si>
  <si>
    <t>Directive EE</t>
  </si>
  <si>
    <t>Fioul lourd</t>
  </si>
  <si>
    <t>Remarque</t>
  </si>
  <si>
    <t>TBTS (Fioul lourd très basse teneur en soufre)</t>
  </si>
  <si>
    <t>GPL</t>
  </si>
  <si>
    <t>Propane citerne</t>
  </si>
  <si>
    <t>ADEME / Base carbone</t>
  </si>
  <si>
    <t>Gazole</t>
  </si>
  <si>
    <t>€TTC/L</t>
  </si>
  <si>
    <t>Données sources</t>
  </si>
  <si>
    <t>€TTC/tonne</t>
  </si>
  <si>
    <t>2000 S1</t>
  </si>
  <si>
    <t>2000 S2</t>
  </si>
  <si>
    <t>2001 S1</t>
  </si>
  <si>
    <t>2001 S2</t>
  </si>
  <si>
    <t>2002 S1</t>
  </si>
  <si>
    <t>2002 S2</t>
  </si>
  <si>
    <t>2003 S1</t>
  </si>
  <si>
    <t>2003 S2</t>
  </si>
  <si>
    <t>2004 S1</t>
  </si>
  <si>
    <t>2004 S2</t>
  </si>
  <si>
    <t>2005 S1</t>
  </si>
  <si>
    <t>2005 S2</t>
  </si>
  <si>
    <t>2006 S1</t>
  </si>
  <si>
    <t>2006 S2</t>
  </si>
  <si>
    <t>2007 S1</t>
  </si>
  <si>
    <t>2008 S1</t>
  </si>
  <si>
    <t>2008 S2</t>
  </si>
  <si>
    <t>2009 S1</t>
  </si>
  <si>
    <t>2009 S2</t>
  </si>
  <si>
    <t>2010 S1</t>
  </si>
  <si>
    <t>2010 S2</t>
  </si>
  <si>
    <t>2011 S1</t>
  </si>
  <si>
    <t>2011 S2</t>
  </si>
  <si>
    <t>2012 S1</t>
  </si>
  <si>
    <t>2012 S2</t>
  </si>
  <si>
    <t>2013 S1</t>
  </si>
  <si>
    <t>2013 S2</t>
  </si>
  <si>
    <t>2014 S1</t>
  </si>
  <si>
    <t>Produits pétroliers</t>
  </si>
  <si>
    <t>Cours internationaux</t>
  </si>
  <si>
    <t>NBP court moyen</t>
  </si>
  <si>
    <t>Taux de change $/€</t>
  </si>
  <si>
    <t>Electricité</t>
  </si>
  <si>
    <t>Gaz naturel</t>
  </si>
  <si>
    <t>Pétrole</t>
  </si>
  <si>
    <t>Données retraitées</t>
  </si>
  <si>
    <t>€/litre</t>
  </si>
  <si>
    <t>€/MWh</t>
  </si>
  <si>
    <t>€/MWh PCS</t>
  </si>
  <si>
    <t>Coefficients de conversion</t>
  </si>
  <si>
    <t xml:space="preserve"> GJ/MWh</t>
  </si>
  <si>
    <t>MWh/kWh</t>
  </si>
  <si>
    <t>€/GJ (~280 kWh)</t>
  </si>
  <si>
    <t>€/tonne (Hors TVA)</t>
  </si>
  <si>
    <t>prix+TVA</t>
  </si>
  <si>
    <t>€/litre (Hors TVA)</t>
  </si>
  <si>
    <t>$/MBTU</t>
  </si>
  <si>
    <t>L/bl</t>
  </si>
  <si>
    <t>Wh/BTU</t>
  </si>
  <si>
    <t>bl/tonne</t>
  </si>
  <si>
    <t>FPB</t>
  </si>
  <si>
    <t>$/MWh</t>
  </si>
  <si>
    <t>CO2</t>
  </si>
  <si>
    <t>%</t>
  </si>
  <si>
    <t>Constant</t>
  </si>
  <si>
    <t>NBP cours moyen</t>
  </si>
  <si>
    <t>"brent" cours moyen</t>
  </si>
  <si>
    <t>cours moyen du $</t>
  </si>
  <si>
    <t>€/$</t>
  </si>
  <si>
    <t>tCO2/tonne</t>
  </si>
  <si>
    <t>l/tonne</t>
  </si>
  <si>
    <t>€/l</t>
  </si>
  <si>
    <t>€/ l</t>
  </si>
  <si>
    <t>Petrole</t>
  </si>
  <si>
    <t>€/m3</t>
  </si>
  <si>
    <t>GJ/MBTU</t>
  </si>
  <si>
    <t>GJ/m3</t>
  </si>
  <si>
    <t>tonne/l</t>
  </si>
  <si>
    <t>tonne co2/l</t>
  </si>
  <si>
    <t>I4-2 Gaz conso annuel 418 600GJ modulation différente hors abonnement Hors TVA et autres taxes et prélèvements récupérables</t>
  </si>
  <si>
    <t>I1 Gaz conso annuel 418.6GJ hors abonnement Hors TVA et autres taxes et prélèvements récupérables</t>
  </si>
  <si>
    <t>I2 Gaz conso annuel 4 186GJ hors abonnement Hors TVA et autres taxes et prélèvements récupérables</t>
  </si>
  <si>
    <t>I3-1 Gaz conso annuel 41 860GJ hors abonnement Hors TVA et autres taxes et prélèvements récupérables</t>
  </si>
  <si>
    <t>I3-2 Gaz conso annuel 41 860GJ modulation différente hors abonnement Hors TVA et autres taxes et prélèvements récupérables</t>
  </si>
  <si>
    <t>I4-1 Gaz conso annuel 418 600GJ hors abonnement Hors TVA et autres taxes et prélèvements récupérables</t>
  </si>
  <si>
    <t>I1 Gaz Conso &lt;1 000 GJ hors abonnement Hors TVA et autres taxes et prélèvements récupérables</t>
  </si>
  <si>
    <t>I2 Gaz 1 000GJ&lt;conso&lt;10 000GJ hors abonnement Hors TVA et autres taxes et prélèvements récupérables</t>
  </si>
  <si>
    <t>I3 Gaz 10 000GJ&lt;conso&lt;100 000GJ hors abonnement Hors TVA et autres taxes et prélèvements récupérables</t>
  </si>
  <si>
    <t>I4  Gaz 100 000GJ&lt;conso&lt;1 000 000GJ hors abonnement Hors TVA et autres taxes et prélèvements récupérables</t>
  </si>
  <si>
    <t>I5 Gaz 1 000 000GJ&lt;conso&lt;4 000 000GJ hors abonnement Hors TVA et autres taxes et prélèvements récupérables</t>
  </si>
  <si>
    <t>N°</t>
  </si>
  <si>
    <t>Action</t>
  </si>
  <si>
    <t>MWh PCI</t>
  </si>
  <si>
    <t>Total</t>
  </si>
  <si>
    <t>Carburant utilisé</t>
  </si>
  <si>
    <t xml:space="preserve">Marge d'erreur </t>
  </si>
  <si>
    <t>Année de mise en service</t>
  </si>
  <si>
    <t>Durée de simulation</t>
  </si>
  <si>
    <t>Action 1</t>
  </si>
  <si>
    <t>Action 2</t>
  </si>
  <si>
    <t>Action 3</t>
  </si>
  <si>
    <t>Action 4</t>
  </si>
  <si>
    <t>Action 5</t>
  </si>
  <si>
    <t>Action 6</t>
  </si>
  <si>
    <t>TOTAL</t>
  </si>
  <si>
    <t>Scénario</t>
  </si>
  <si>
    <t>AIE</t>
  </si>
  <si>
    <t>Année en cours</t>
  </si>
  <si>
    <t>Action 7</t>
  </si>
  <si>
    <t>Action 8</t>
  </si>
  <si>
    <t>Action 9</t>
  </si>
  <si>
    <t>Action 10</t>
  </si>
  <si>
    <t>Intitulé de l'action</t>
  </si>
  <si>
    <t>Fioul domestique</t>
  </si>
  <si>
    <t>Bois</t>
  </si>
  <si>
    <t>Vapeur</t>
  </si>
  <si>
    <t>Autre</t>
  </si>
  <si>
    <t>Description de l'action</t>
  </si>
  <si>
    <t>Bilan GES</t>
  </si>
  <si>
    <t>Guide des facteurs d'émissions Version 5.0 Ademe 2007</t>
  </si>
  <si>
    <t>http://www.energies-davenir.com/bibliotheque-ea/production_energie_reseau_alimentation/bilan_carbone_guide_facteurs_emissions_V5.pdf</t>
  </si>
  <si>
    <t>kgCO2eq/MWh</t>
  </si>
  <si>
    <t>MWh Cumac</t>
  </si>
  <si>
    <t>prix à conserver</t>
  </si>
  <si>
    <t>choix</t>
  </si>
  <si>
    <t>exclure</t>
  </si>
  <si>
    <t>prendre en compte</t>
  </si>
  <si>
    <t>CEE</t>
  </si>
  <si>
    <t>Investissement par action</t>
  </si>
  <si>
    <t>Investissement total et CEE</t>
  </si>
  <si>
    <t>% eco/energie</t>
  </si>
  <si>
    <t>Total - CEE</t>
  </si>
  <si>
    <t>% eco/action</t>
  </si>
  <si>
    <t>Eco1 MWh</t>
  </si>
  <si>
    <t>scénario</t>
  </si>
  <si>
    <t>Energie 1</t>
  </si>
  <si>
    <t>Energie 2</t>
  </si>
  <si>
    <t>Prévision prix énergie (€/MWh) selon scénario et année:</t>
  </si>
  <si>
    <t>tCO2 évité</t>
  </si>
  <si>
    <t xml:space="preserve">eco/an et par €investi  </t>
  </si>
  <si>
    <t>tCO2 évité/an</t>
  </si>
  <si>
    <t>% eco CO2/energie</t>
  </si>
  <si>
    <t>Temps de retour brut (TRB)</t>
  </si>
  <si>
    <t>€ / an</t>
  </si>
  <si>
    <t>Gains annuels sur la facture énergétique - €</t>
  </si>
  <si>
    <t>Avant plan d'actions</t>
  </si>
  <si>
    <t>Après plan d'actions</t>
  </si>
  <si>
    <t>Total - €</t>
  </si>
  <si>
    <t>Choix du scénario de prix de l'énergie</t>
  </si>
  <si>
    <t>Taux d'actualisation</t>
  </si>
  <si>
    <t>Gains annuels sur la consommation énergétique - MWh</t>
  </si>
  <si>
    <t>Gains annuels sur les émissions de CO2 - tonnes</t>
  </si>
  <si>
    <t>fin d'étude</t>
  </si>
  <si>
    <t>I3 eurostat ~ 5000MWh</t>
  </si>
  <si>
    <t>500€htva/t 2014 pegase</t>
  </si>
  <si>
    <t>Taux de change coût d'un dollard en euro</t>
  </si>
  <si>
    <t>Pegase propane citerne</t>
  </si>
  <si>
    <t>prix moyen 1 L</t>
  </si>
  <si>
    <t xml:space="preserve">DGEC et EU Market observatory &amp; Statistics </t>
  </si>
  <si>
    <t>Gaz spot NBP</t>
  </si>
  <si>
    <t>tarif C1</t>
  </si>
  <si>
    <t>Electricity estimation graph p 195</t>
  </si>
  <si>
    <t>matière première</t>
  </si>
  <si>
    <t>prix consommateur</t>
  </si>
  <si>
    <t>Facteur d'émission gaz</t>
  </si>
  <si>
    <t>Part fixe gaz</t>
  </si>
  <si>
    <t>100 kWh PCI de FOD au tarif C1 (entre 2000 et4999L)</t>
  </si>
  <si>
    <t>Série historique</t>
  </si>
  <si>
    <t>Scénario constant</t>
  </si>
  <si>
    <t>Prix  C1-2-3-4 agloméré Cibe.fr environ 50€/tonne de bois pour un PCI de 3MWh/tonne</t>
  </si>
  <si>
    <t>Tarif CPCU paris 30€ la tonne de vapeur pour un pci de 700kwh/tonne</t>
  </si>
  <si>
    <t>Fioul Lourd</t>
  </si>
  <si>
    <t>Fioul Domestique</t>
  </si>
  <si>
    <t>Masse volumique</t>
  </si>
  <si>
    <t>Densité énergétique</t>
  </si>
  <si>
    <t>Part fixe Fioul domestique petrole</t>
  </si>
  <si>
    <t>Masse volumiqe</t>
  </si>
  <si>
    <t>MWh/MBTU (million British thermal units)</t>
  </si>
  <si>
    <t>circulaire du 12 mars 2014</t>
  </si>
  <si>
    <t>50%50% butane propane</t>
  </si>
  <si>
    <t>densité ~ 850kg/m3</t>
  </si>
  <si>
    <t>Coefficient de conversion d'unité</t>
  </si>
  <si>
    <t>Arrêté du 15 septembre 2006 / Base carbone</t>
  </si>
  <si>
    <t>Arrêté 10 avril 2012</t>
  </si>
  <si>
    <t>CFBP</t>
  </si>
  <si>
    <t>550 kg/m3 50% propane 50% butane</t>
  </si>
  <si>
    <t>Coeficients de calcul</t>
  </si>
  <si>
    <t>Description</t>
  </si>
  <si>
    <t>Valeur</t>
  </si>
  <si>
    <t>déduit des prix historiques</t>
  </si>
  <si>
    <t>Précision</t>
  </si>
  <si>
    <t>Facteur d'émission CO2</t>
  </si>
  <si>
    <t>Ratio prix petrole fioul</t>
  </si>
  <si>
    <t>Déduit des prix historiques</t>
  </si>
  <si>
    <t>New policies scenario:</t>
  </si>
  <si>
    <t>The New Policies Scenario – the central scenario in WEO-2013 – analyses the evolution of energy markets based on the continuation of existing policies and measures as well as cautious implementation of policies that have been announced by governments but are yet to be given effect.</t>
  </si>
  <si>
    <t>Part fixe GPL Petrole</t>
  </si>
  <si>
    <t>MWh PCI/l</t>
  </si>
  <si>
    <t>tonne CO2/MWh PCI</t>
  </si>
  <si>
    <t>€/MWh PCI</t>
  </si>
  <si>
    <t>€/1000L</t>
  </si>
  <si>
    <t>MWh PCI/MWh PCS</t>
  </si>
  <si>
    <t>A quoi sert cet outil?</t>
  </si>
  <si>
    <t>Comment utiliser cet outil?</t>
  </si>
  <si>
    <t>Code couleur</t>
  </si>
  <si>
    <t>€/L</t>
  </si>
  <si>
    <t>MWh PCS</t>
  </si>
  <si>
    <t>Gaz nat</t>
  </si>
  <si>
    <t>m3</t>
  </si>
  <si>
    <t>1  équivaut à:</t>
  </si>
  <si>
    <t>Choix</t>
  </si>
  <si>
    <t>tonne</t>
  </si>
  <si>
    <t>L</t>
  </si>
  <si>
    <t>données brutes</t>
  </si>
  <si>
    <t>inverse</t>
  </si>
  <si>
    <t>calcul</t>
  </si>
  <si>
    <t>Valeur à convertir</t>
  </si>
  <si>
    <t>Choix graphique onglet Scénarios</t>
  </si>
  <si>
    <t>MWh PCI / an</t>
  </si>
  <si>
    <t>tCO2eq / an</t>
  </si>
  <si>
    <t>€ / MWh</t>
  </si>
  <si>
    <t>€/MWh PCI (hors TVA)</t>
  </si>
  <si>
    <t>Paramètres de la simulation</t>
  </si>
  <si>
    <t>VAN</t>
  </si>
  <si>
    <t>Personnalisé</t>
  </si>
  <si>
    <t>Euros économisés par Euro investi</t>
  </si>
  <si>
    <t>Déduit des prix historiques I3</t>
  </si>
  <si>
    <t>€/MWh PCI (Hors TVA)</t>
  </si>
  <si>
    <t>Electricité - €/MWh</t>
  </si>
  <si>
    <t>€TTC/100 kwh PCI</t>
  </si>
  <si>
    <t>Type d'énergie</t>
  </si>
  <si>
    <t>Valeur convertie</t>
  </si>
  <si>
    <t>Convertisseur d'unité énergétique</t>
  </si>
  <si>
    <t>Convertisseur de prix de l'énergie</t>
  </si>
  <si>
    <t>Choix de l'unité de départ</t>
  </si>
  <si>
    <t>Choix de l'unité d'arrivée</t>
  </si>
  <si>
    <t>Exemple : convertir 500€/tonne de fioul en €/MWh PCI…</t>
  </si>
  <si>
    <t>Valeur de départ</t>
  </si>
  <si>
    <t>Valeur d'arrivée</t>
  </si>
  <si>
    <t>Choix unité Fioul Lourd :</t>
  </si>
  <si>
    <t>Choix unité Fioul Domestique :</t>
  </si>
  <si>
    <t>Choix unité GPL :</t>
  </si>
  <si>
    <t>Choix unité Gaz Naturel :</t>
  </si>
  <si>
    <t>Remarque : Prix moyen hors TVA (source SOES)</t>
  </si>
  <si>
    <t>Taux de change coût d'un dollar en euro</t>
  </si>
  <si>
    <t>Remarque : Cours moyen du Brent (source SOES)</t>
  </si>
  <si>
    <t>Remarque : Prix moyen payé par les entreprises hors TVA (source Eurostat)</t>
  </si>
  <si>
    <t>Actions</t>
  </si>
  <si>
    <t>Facture énergétique</t>
  </si>
  <si>
    <t>Consommation d'énergie</t>
  </si>
  <si>
    <t>Priorité de l'action</t>
  </si>
  <si>
    <r>
      <t xml:space="preserve">Prix de l'énergie réel </t>
    </r>
    <r>
      <rPr>
        <sz val="10"/>
        <color theme="1"/>
        <rFont val="Arial"/>
        <family val="2"/>
      </rPr>
      <t>(facultatif)</t>
    </r>
  </si>
  <si>
    <t>Bilan énergétique annuel initial</t>
  </si>
  <si>
    <t>Potentiels d'économies</t>
  </si>
  <si>
    <t>Valorisation CEE</t>
  </si>
  <si>
    <t>Investissements / Maintenance</t>
  </si>
  <si>
    <t>Gains annuels liés à l'énergie</t>
  </si>
  <si>
    <t>Investissements</t>
  </si>
  <si>
    <t>Brut</t>
  </si>
  <si>
    <t>Facteur d'actualisation</t>
  </si>
  <si>
    <t>Gains énergie</t>
  </si>
  <si>
    <t>brut</t>
  </si>
  <si>
    <t>Cumul sans CEE</t>
  </si>
  <si>
    <t>actualisé</t>
  </si>
  <si>
    <t>Cumul avec CEE</t>
  </si>
  <si>
    <t>Nb d'années</t>
  </si>
  <si>
    <t>Prioritaire</t>
  </si>
  <si>
    <t>Ambitieux</t>
  </si>
  <si>
    <t>Très ambitieux</t>
  </si>
  <si>
    <t>Action 11</t>
  </si>
  <si>
    <t>Action 12</t>
  </si>
  <si>
    <t>Action 13</t>
  </si>
  <si>
    <t>Action 14</t>
  </si>
  <si>
    <t>Action 15</t>
  </si>
  <si>
    <t>Action 16</t>
  </si>
  <si>
    <t>Action 17</t>
  </si>
  <si>
    <t>Action 18</t>
  </si>
  <si>
    <t>Action 19</t>
  </si>
  <si>
    <t>Action 20</t>
  </si>
  <si>
    <r>
      <t xml:space="preserve">Energie 2 </t>
    </r>
    <r>
      <rPr>
        <sz val="10"/>
        <rFont val="Arial"/>
        <family val="2"/>
      </rPr>
      <t>(facultatif)</t>
    </r>
  </si>
  <si>
    <r>
      <t xml:space="preserve">CEE récupérables </t>
    </r>
    <r>
      <rPr>
        <sz val="10"/>
        <rFont val="Arial"/>
        <family val="2"/>
      </rPr>
      <t>(facultatif)</t>
    </r>
  </si>
  <si>
    <t>Non priorisé</t>
  </si>
  <si>
    <t>Calcul des indicateurs</t>
  </si>
  <si>
    <r>
      <t>Indicateurs</t>
    </r>
    <r>
      <rPr>
        <sz val="10"/>
        <color theme="0"/>
        <rFont val="Arial"/>
        <family val="2"/>
      </rPr>
      <t xml:space="preserve"> (</t>
    </r>
    <r>
      <rPr>
        <b/>
        <sz val="10"/>
        <color theme="0"/>
        <rFont val="Arial"/>
        <family val="2"/>
      </rPr>
      <t xml:space="preserve">sans </t>
    </r>
    <r>
      <rPr>
        <sz val="10"/>
        <color theme="0"/>
        <rFont val="Arial"/>
        <family val="2"/>
      </rPr>
      <t>prise en compte des CEE)</t>
    </r>
  </si>
  <si>
    <r>
      <t>Indicateurs</t>
    </r>
    <r>
      <rPr>
        <sz val="10"/>
        <color theme="0"/>
        <rFont val="Arial"/>
        <family val="2"/>
      </rPr>
      <t xml:space="preserve"> (</t>
    </r>
    <r>
      <rPr>
        <b/>
        <sz val="10"/>
        <color theme="0"/>
        <rFont val="Arial"/>
        <family val="2"/>
      </rPr>
      <t>avec</t>
    </r>
    <r>
      <rPr>
        <sz val="10"/>
        <color theme="0"/>
        <rFont val="Arial"/>
        <family val="2"/>
      </rPr>
      <t xml:space="preserve"> prise en compte des CEE)</t>
    </r>
  </si>
  <si>
    <t>Synthèse du plan d'actions</t>
  </si>
  <si>
    <t>invest</t>
  </si>
  <si>
    <t>Eco Total</t>
  </si>
  <si>
    <t>Eco2 MWh</t>
  </si>
  <si>
    <t>Eco 1 €</t>
  </si>
  <si>
    <t>Eco 2 €</t>
  </si>
  <si>
    <t>Eco 1 CO2</t>
  </si>
  <si>
    <t>Eco 2 CO2</t>
  </si>
  <si>
    <t>←  Dérouler pour afficher 10 actions supplémentaires</t>
  </si>
  <si>
    <t>Remplacement des projecteurs halogènes par des luminaires LED</t>
  </si>
  <si>
    <t>pour test TRB</t>
  </si>
  <si>
    <t>énergie en €/MWh</t>
  </si>
  <si>
    <t>Indice de prix</t>
  </si>
  <si>
    <t>Scénario d'évolution du prix de l'énergie</t>
  </si>
  <si>
    <t>Données du plan d'actions</t>
  </si>
  <si>
    <t>Résultats de la simulation</t>
  </si>
  <si>
    <t>Catégories d'actions</t>
  </si>
  <si>
    <r>
      <t xml:space="preserve">Coût récurrent
</t>
    </r>
    <r>
      <rPr>
        <sz val="10"/>
        <rFont val="Arial"/>
        <family val="2"/>
      </rPr>
      <t>(</t>
    </r>
    <r>
      <rPr>
        <b/>
        <sz val="10"/>
        <color theme="5" tint="-0.249977111117893"/>
        <rFont val="Arial"/>
        <family val="2"/>
      </rPr>
      <t>&lt;0 si coût</t>
    </r>
    <r>
      <rPr>
        <sz val="10"/>
        <rFont val="Arial"/>
        <family val="2"/>
      </rPr>
      <t xml:space="preserve"> ; </t>
    </r>
    <r>
      <rPr>
        <b/>
        <sz val="10"/>
        <rFont val="Arial"/>
        <family val="2"/>
      </rPr>
      <t>&gt;0 si gain</t>
    </r>
    <r>
      <rPr>
        <sz val="10"/>
        <rFont val="Arial"/>
        <family val="2"/>
      </rPr>
      <t>)</t>
    </r>
  </si>
  <si>
    <t>Paramètre à renseigner par l'utilisateur</t>
  </si>
  <si>
    <r>
      <rPr>
        <b/>
        <sz val="10"/>
        <color theme="1"/>
        <rFont val="Arial"/>
        <family val="2"/>
      </rPr>
      <t xml:space="preserve">Durée de la simulation </t>
    </r>
    <r>
      <rPr>
        <i/>
        <sz val="10"/>
        <color theme="1"/>
        <rFont val="Arial"/>
        <family val="2"/>
      </rPr>
      <t>(années)</t>
    </r>
  </si>
  <si>
    <r>
      <rPr>
        <b/>
        <sz val="10"/>
        <color theme="1"/>
        <rFont val="Arial"/>
        <family val="2"/>
      </rPr>
      <t>Valorisation des CEE</t>
    </r>
    <r>
      <rPr>
        <sz val="10"/>
        <color theme="1"/>
        <rFont val="Arial"/>
        <family val="2"/>
      </rPr>
      <t xml:space="preserve">
</t>
    </r>
    <r>
      <rPr>
        <i/>
        <sz val="10"/>
        <color theme="1"/>
        <rFont val="Arial"/>
        <family val="2"/>
      </rPr>
      <t>( € / MWh cumac)</t>
    </r>
  </si>
  <si>
    <t>Autres paramètres de la simulation</t>
  </si>
  <si>
    <t>Investissement</t>
  </si>
  <si>
    <t>dont CEE</t>
  </si>
  <si>
    <t>Sans CEE</t>
  </si>
  <si>
    <t>Avec CEE</t>
  </si>
  <si>
    <t>Outil de simulation d'un plan d'actions d'efficacité énergétique</t>
  </si>
  <si>
    <t>chaudière gaz rendement 95%</t>
  </si>
  <si>
    <t>Scénario personnalisé</t>
  </si>
  <si>
    <t>Année</t>
  </si>
  <si>
    <t>Historique</t>
  </si>
  <si>
    <t>Calcul du scénario tendenciel</t>
  </si>
  <si>
    <t>Cumul</t>
  </si>
  <si>
    <t>Gains en énergie</t>
  </si>
  <si>
    <t>Coût récurrent</t>
  </si>
  <si>
    <t>Cout récurrent</t>
  </si>
  <si>
    <t>Indicateurs financiers</t>
  </si>
  <si>
    <t>Coûts cumulés</t>
  </si>
  <si>
    <t>Bilan énergétique de référence du site</t>
  </si>
  <si>
    <r>
      <rPr>
        <b/>
        <sz val="10"/>
        <color theme="1" tint="0.34998626667073579"/>
        <rFont val="Arial"/>
        <family val="2"/>
      </rPr>
      <t>L'onglet "plan d'action" permet de renseigner des paramétres les différentes actions d'efficacité énergétique.</t>
    </r>
    <r>
      <rPr>
        <sz val="10"/>
        <color theme="1" tint="0.34998626667073579"/>
        <rFont val="Arial"/>
        <family val="2"/>
      </rPr>
      <t xml:space="preserve">
</t>
    </r>
    <r>
      <rPr>
        <i/>
        <sz val="10"/>
        <color theme="1" tint="0.34998626667073579"/>
        <rFont val="Arial"/>
        <family val="2"/>
      </rPr>
      <t>Exemple : Investissements, gains énergétiques associés, CEE récupérables…</t>
    </r>
  </si>
  <si>
    <t>correspond à un indicateur favorable</t>
  </si>
  <si>
    <r>
      <t>Indicateurs financiers</t>
    </r>
    <r>
      <rPr>
        <sz val="10"/>
        <color theme="0"/>
        <rFont val="Arial"/>
        <family val="2"/>
      </rPr>
      <t xml:space="preserve"> (sans prise en compte des CEE)</t>
    </r>
  </si>
  <si>
    <r>
      <t>Indicateurs financiers</t>
    </r>
    <r>
      <rPr>
        <sz val="10"/>
        <color theme="0"/>
        <rFont val="Arial"/>
        <family val="2"/>
      </rPr>
      <t xml:space="preserve"> (avec prise en compte des CEE)</t>
    </r>
  </si>
  <si>
    <t>TRI</t>
  </si>
  <si>
    <t>Scénarios de prix de l'énergie</t>
  </si>
  <si>
    <t>Cet onglet permet de visualiser, en tendance longue, l'historique des prix des principales sources d'énergie et les 3 scénarios de projections proposés dans l'outil.</t>
  </si>
  <si>
    <t>Le "scénario personnalisé" peu être librement paramétré au bas de cet onglet</t>
  </si>
  <si>
    <t>MWh PCI/m3</t>
  </si>
  <si>
    <t>Visualisation des projections de prix de l'énergie</t>
  </si>
  <si>
    <t>Isolation des parois du four</t>
  </si>
  <si>
    <t>Remplacement des luminaires T8 par des
luminaires  T5</t>
  </si>
  <si>
    <t>Réduction des talons le week-end</t>
  </si>
  <si>
    <t>Calorifugeage des singularité</t>
  </si>
  <si>
    <t>Installer un compresseur à vitesse variable</t>
  </si>
  <si>
    <t>Remplacement moteur B par un moteur haut rendement</t>
  </si>
  <si>
    <t>Mise en place d'un système de monitoring énergétique</t>
  </si>
  <si>
    <t>Récupération de la chaleur sur les fumées des chaudières</t>
  </si>
  <si>
    <t>Optimisation moteur A : Installation d'un variateur de vitesse</t>
  </si>
  <si>
    <t>Réglage commandes</t>
  </si>
  <si>
    <t>Réduction des fuites d'air comprimé</t>
  </si>
  <si>
    <t>1&gt;&gt;&gt;&gt;&gt;&gt;&gt;&gt;&gt;&gt;&gt;&gt;&gt;&gt;&gt;</t>
  </si>
  <si>
    <t>Paramètres à renseigner par l'utilisateur</t>
  </si>
  <si>
    <t>Téléphone</t>
  </si>
  <si>
    <t>Exemple : convertir 45 m3 de gaz en MWh PCI…</t>
  </si>
  <si>
    <t>TRI TRB immédiat =&gt; tri max</t>
  </si>
  <si>
    <t>TRI MAX</t>
  </si>
  <si>
    <t>entrer la formule sans les{} et appuyer sur ctrl maj entrée au lieu de juste entrée</t>
  </si>
  <si>
    <t xml:space="preserve"> Energie</t>
  </si>
  <si>
    <t>GES</t>
  </si>
  <si>
    <t>Facture</t>
  </si>
  <si>
    <t>Entreprise</t>
  </si>
  <si>
    <t>Nom du site</t>
  </si>
  <si>
    <t>Energy manager</t>
  </si>
  <si>
    <t>Mail</t>
  </si>
  <si>
    <t>Informations remplies par</t>
  </si>
  <si>
    <t>Date</t>
  </si>
  <si>
    <t>Informations générales</t>
  </si>
  <si>
    <t xml:space="preserve">Faire évoluer les brûleurs athmosphérique en brûleurs à air pulsé </t>
  </si>
  <si>
    <t>L'onglet "Convertisseur d'unité" permet de passer d'une unité physique à des MWh.
ex : tonnes de fioul -&gt; MWh PCI de fioul ou €/m3 de gaz à €/MWh PCI de gaz.</t>
  </si>
  <si>
    <r>
      <t xml:space="preserve">Pour sauvegarder le plan d'action : 
- </t>
    </r>
    <r>
      <rPr>
        <b/>
        <sz val="10"/>
        <rFont val="Arial"/>
        <family val="2"/>
      </rPr>
      <t xml:space="preserve">sélectionner puis copier toutes les cellules correspondant au cadre blanc </t>
    </r>
    <r>
      <rPr>
        <sz val="10"/>
        <rFont val="Arial"/>
        <family val="2"/>
      </rPr>
      <t>ci-dessus ;
- cliquer sur le lien "</t>
    </r>
    <r>
      <rPr>
        <b/>
        <sz val="10"/>
        <rFont val="Arial"/>
        <family val="2"/>
      </rPr>
      <t>sauvegarde du plan d'action</t>
    </r>
    <r>
      <rPr>
        <sz val="10"/>
        <rFont val="Arial"/>
        <family val="2"/>
      </rPr>
      <t>" à gauche
- copier les information dans le tableau prévu à cet effet.
Faites la démarche inverse pour récupérer votre plan d'action.</t>
    </r>
  </si>
  <si>
    <t>Réduction des émissions de CO2 - € / an</t>
  </si>
  <si>
    <t>Gains sur la facture énergétique - € / an</t>
  </si>
  <si>
    <t>Gains sur la consommation énergétique - MWh / an</t>
  </si>
  <si>
    <t>Calculette de conversion des unités énergétiques</t>
  </si>
  <si>
    <r>
      <t xml:space="preserve">Copier-coller les informations </t>
    </r>
    <r>
      <rPr>
        <sz val="12"/>
        <color theme="0"/>
        <rFont val="Arial"/>
        <family val="2"/>
      </rPr>
      <t>(situées dans cellules blanches)</t>
    </r>
    <r>
      <rPr>
        <b/>
        <sz val="12"/>
        <color theme="0"/>
        <rFont val="Arial"/>
        <family val="2"/>
      </rPr>
      <t xml:space="preserve"> entre PLAN D'ACTIONS et ARCHIVER PLAN D'ACTIONS pour sauvegarder les données</t>
    </r>
  </si>
  <si>
    <t>"énergieSIM" Simulation d'un plan d'actions d'efficacité énergétique</t>
  </si>
  <si>
    <r>
      <rPr>
        <b/>
        <sz val="10"/>
        <color theme="3"/>
        <rFont val="Arial"/>
        <family val="2"/>
      </rPr>
      <t xml:space="preserve">Un outil pour prioriser et simuler la mise en œuvre de son plan d’actions en efficacité énergétique.
</t>
    </r>
    <r>
      <rPr>
        <sz val="10"/>
        <color theme="1"/>
        <rFont val="Arial"/>
        <family val="2"/>
      </rPr>
      <t xml:space="preserve">
Face à la contrainte liée au financement des actions d’efficacité énergétique, il revient au responsable énergie de : 
- prioriser les actions identifiées lors du diagnostic énergétique;
- mettre en avant des indicateurs économiques à partir d’une simulation du plan d’actions.
L’outil permet de mettre des chiffres sur les identifications d’opportunités en allant au-delà du simple temps de retour sur investissement. La finalité de l’outil consiste à aider le responsable énergie à porter son plan d’actions en efficacité énergétique auprès de son directeur financier ou sa direction.</t>
    </r>
  </si>
  <si>
    <t>L'onglet principal permet : 
- de renseigner le bilan énergétique du site
- de renseigner un plan d'action en détaillant les actions pouvant être misent en place: énergie économisée, investissement, CEE, coût d'exploitation…
- de préciser les paramètres que l'on souhaite pour réaliser la simulation: taux d'actualisation, scénario considéré, prix des CEE, durée de la simulation…
- de visualiser les résultats du plan d'action dans un tableau. 
- de visualiser les résultats du plan d'action via plusieurs graphiques montrant le bilan du site avant et après plan d'action, l'évolution de la VAN année après année,  la part de CEE dans dans budget...
Une notice détaillée de l'outil est disponible.</t>
  </si>
  <si>
    <t>taux mi 2015</t>
  </si>
  <si>
    <t>2014 S2</t>
  </si>
  <si>
    <t>2015 S1</t>
  </si>
  <si>
    <t>2015 S2</t>
  </si>
  <si>
    <t>Electricity prices for industrial consumers - bi-annual data (from 2007 onwards)</t>
  </si>
  <si>
    <t>[nrg_pc_205]</t>
  </si>
  <si>
    <t>Excluding VAT and other recoverable taxes and levies</t>
  </si>
  <si>
    <t>Ia conso 30MWh Pm 30kW</t>
  </si>
  <si>
    <t>Ib conso 50MWh Pm 50kW</t>
  </si>
  <si>
    <t>Ic conso 100MWh Pm 160kW</t>
  </si>
  <si>
    <t>Id conso 1200MWh Pm 500kW</t>
  </si>
  <si>
    <t>Ie conso 2000MWh Pm 500kW</t>
  </si>
  <si>
    <t>If conso 10 000MWh Pm 2500kW</t>
  </si>
  <si>
    <t>Ig conso 24 0000MWh Pm 4 000kW</t>
  </si>
  <si>
    <t xml:space="preserve">Ia conso &lt; 20 MWh </t>
  </si>
  <si>
    <t>Ib 20MWh &lt;conso&lt;500MWh</t>
  </si>
  <si>
    <t>Ic 500MWh&lt;conso&lt; 2000MWh</t>
  </si>
  <si>
    <t>Id 2000MWh&lt;conso&lt;20 000MWH</t>
  </si>
  <si>
    <t>Ie 20 000MWh&lt;conso&lt;70 000MWh</t>
  </si>
  <si>
    <t>If 70 000&lt;conso&lt;150 000MWhHors</t>
  </si>
  <si>
    <t>Gas prices for industrial consumers - bi-annual data (from 2007 onwards) [nrg_pc_203]</t>
  </si>
  <si>
    <t>[nrg_pc_203]</t>
  </si>
  <si>
    <t>Prix d'une tonne de propane</t>
  </si>
  <si>
    <r>
      <t xml:space="preserve">Prix de l'énergie par défaut
</t>
    </r>
    <r>
      <rPr>
        <sz val="10"/>
        <color theme="1"/>
        <rFont val="Arial"/>
        <family val="2"/>
      </rPr>
      <t>(en 2016)</t>
    </r>
  </si>
  <si>
    <t>2016 S1</t>
  </si>
  <si>
    <t>Année de départ scénario</t>
  </si>
  <si>
    <t>unité fioul lourd</t>
  </si>
  <si>
    <t>unité FOD</t>
  </si>
  <si>
    <t>unité GN</t>
  </si>
  <si>
    <t>unité GPL</t>
  </si>
  <si>
    <t>Référence</t>
  </si>
  <si>
    <t>tonneCO2/ tonne</t>
  </si>
  <si>
    <t>Scénario référence</t>
  </si>
  <si>
    <t>Tableau pour graphiques</t>
  </si>
  <si>
    <r>
      <t xml:space="preserve">Projection from World Energy Outlook 2013 </t>
    </r>
    <r>
      <rPr>
        <sz val="11"/>
        <color theme="1"/>
        <rFont val="Arial"/>
        <family val="2"/>
      </rPr>
      <t>European Union</t>
    </r>
  </si>
  <si>
    <t>Synthèse</t>
  </si>
  <si>
    <t>Prix de départ par défaut (2016)</t>
  </si>
  <si>
    <t>Tableau des prix de l'énergie par scénario</t>
  </si>
  <si>
    <t>Correspond au prix de l'énergie renseigné dans les paramètres de la simulation.</t>
  </si>
  <si>
    <t>Pégase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</si>
</sst>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0.000"/>
    <numFmt numFmtId="165" formatCode="0.0"/>
    <numFmt numFmtId="166" formatCode="0.0%"/>
    <numFmt numFmtId="167" formatCode="#,##0.00\ &quot;€&quot;"/>
    <numFmt numFmtId="168" formatCode="#,##0&quot; MWh&quot;"/>
    <numFmt numFmtId="169" formatCode="#,##0&quot; €&quot;"/>
    <numFmt numFmtId="170" formatCode="#,##0&quot; €/an&quot;"/>
    <numFmt numFmtId="171" formatCode="0.0000%"/>
    <numFmt numFmtId="172" formatCode="#,##0&quot; ans&quot;"/>
    <numFmt numFmtId="173" formatCode="#,##0\ &quot;€&quot;"/>
    <numFmt numFmtId="174" formatCode="#,##0\ _€"/>
    <numFmt numFmtId="175" formatCode="#,###&quot; tonnes&quot;"/>
    <numFmt numFmtId="176" formatCode="#,##0&quot; tCO2eq&quot;"/>
    <numFmt numFmtId="177" formatCode="#,##0.0&quot; ans&quot;"/>
    <numFmt numFmtId="178" formatCode="&quot;Personnalisé&quot;"/>
    <numFmt numFmtId="179" formatCode="0.0000"/>
    <numFmt numFmtId="180" formatCode="#,##0.0"/>
    <numFmt numFmtId="181" formatCode="#,##0.0000"/>
    <numFmt numFmtId="182" formatCode="#,##0.0\ &quot;€&quot;"/>
  </numFmts>
  <fonts count="7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b/>
      <sz val="11"/>
      <color theme="1"/>
      <name val="Arial"/>
      <family val="2"/>
    </font>
    <font>
      <sz val="10"/>
      <color rgb="FF000000"/>
      <name val="Arial"/>
      <family val="2"/>
    </font>
    <font>
      <sz val="11"/>
      <color theme="1"/>
      <name val="Calibri"/>
      <family val="2"/>
      <scheme val="minor"/>
    </font>
    <font>
      <sz val="10"/>
      <color rgb="FF252525"/>
      <name val="Arial"/>
      <family val="2"/>
    </font>
    <font>
      <sz val="10"/>
      <color theme="1"/>
      <name val="Calibri"/>
      <family val="2"/>
      <scheme val="minor"/>
    </font>
    <font>
      <b/>
      <sz val="11"/>
      <color theme="1"/>
      <name val="Calibri"/>
      <family val="2"/>
      <scheme val="minor"/>
    </font>
    <font>
      <sz val="10"/>
      <name val="Arial"/>
      <family val="2"/>
    </font>
    <font>
      <b/>
      <sz val="12"/>
      <name val="Arial"/>
      <family val="2"/>
    </font>
    <font>
      <sz val="12"/>
      <name val="Arial"/>
      <family val="2"/>
    </font>
    <font>
      <sz val="10"/>
      <color theme="1" tint="0.34998626667073579"/>
      <name val="Arial"/>
      <family val="2"/>
    </font>
    <font>
      <i/>
      <sz val="10"/>
      <color theme="1" tint="0.34998626667073579"/>
      <name val="Arial"/>
      <family val="2"/>
    </font>
    <font>
      <u/>
      <sz val="11"/>
      <color theme="10"/>
      <name val="Calibri"/>
      <family val="2"/>
    </font>
    <font>
      <sz val="11"/>
      <color theme="1"/>
      <name val="Times New Roman"/>
      <family val="1"/>
    </font>
    <font>
      <sz val="10"/>
      <color theme="0" tint="-4.9989318521683403E-2"/>
      <name val="Arial"/>
      <family val="2"/>
    </font>
    <font>
      <sz val="11"/>
      <color theme="1"/>
      <name val="Arial"/>
      <family val="2"/>
    </font>
    <font>
      <u/>
      <sz val="11"/>
      <color theme="10"/>
      <name val="Arial"/>
      <family val="2"/>
    </font>
    <font>
      <sz val="11"/>
      <name val="Arial"/>
      <family val="2"/>
    </font>
    <font>
      <sz val="11"/>
      <color theme="0"/>
      <name val="Arial"/>
      <family val="2"/>
    </font>
    <font>
      <sz val="9"/>
      <color theme="1"/>
      <name val="Arial"/>
      <family val="2"/>
    </font>
    <font>
      <b/>
      <sz val="12"/>
      <color theme="1"/>
      <name val="Arial"/>
      <family val="2"/>
    </font>
    <font>
      <sz val="11"/>
      <color theme="0"/>
      <name val="Calibri"/>
      <family val="2"/>
      <scheme val="minor"/>
    </font>
    <font>
      <sz val="12"/>
      <color theme="1"/>
      <name val="Arial"/>
      <family val="2"/>
    </font>
    <font>
      <b/>
      <sz val="14"/>
      <name val="Arial"/>
      <family val="2"/>
    </font>
    <font>
      <b/>
      <sz val="14"/>
      <color theme="0"/>
      <name val="Arial"/>
      <family val="2"/>
    </font>
    <font>
      <sz val="11"/>
      <name val="Calibri"/>
      <family val="2"/>
      <scheme val="minor"/>
    </font>
    <font>
      <sz val="14"/>
      <color theme="0"/>
      <name val="Arial"/>
      <family val="2"/>
    </font>
    <font>
      <i/>
      <sz val="11"/>
      <color theme="1"/>
      <name val="Calibri"/>
      <family val="2"/>
      <scheme val="minor"/>
    </font>
    <font>
      <b/>
      <sz val="10"/>
      <name val="Arial"/>
      <family val="2"/>
    </font>
    <font>
      <b/>
      <sz val="12"/>
      <color theme="0"/>
      <name val="Arial"/>
      <family val="2"/>
    </font>
    <font>
      <b/>
      <sz val="11"/>
      <name val="Arial"/>
      <family val="2"/>
    </font>
    <font>
      <u/>
      <sz val="10"/>
      <color theme="10"/>
      <name val="Arial"/>
      <family val="2"/>
    </font>
    <font>
      <b/>
      <sz val="13"/>
      <color theme="1"/>
      <name val="Arial"/>
      <family val="2"/>
    </font>
    <font>
      <b/>
      <sz val="13"/>
      <name val="Arial"/>
      <family val="2"/>
    </font>
    <font>
      <b/>
      <sz val="10"/>
      <color theme="5" tint="-0.249977111117893"/>
      <name val="Arial"/>
      <family val="2"/>
    </font>
    <font>
      <i/>
      <sz val="10"/>
      <color theme="1"/>
      <name val="Arial"/>
      <family val="2"/>
    </font>
    <font>
      <sz val="9"/>
      <color indexed="81"/>
      <name val="Tahoma"/>
      <family val="2"/>
    </font>
    <font>
      <b/>
      <sz val="9"/>
      <color indexed="81"/>
      <name val="Tahoma"/>
      <family val="2"/>
    </font>
    <font>
      <sz val="11"/>
      <color theme="1" tint="0.499984740745262"/>
      <name val="Arial"/>
      <family val="2"/>
    </font>
    <font>
      <b/>
      <sz val="24"/>
      <color theme="1"/>
      <name val="Calibri"/>
      <family val="2"/>
      <scheme val="minor"/>
    </font>
    <font>
      <b/>
      <sz val="10"/>
      <color theme="1" tint="0.34998626667073579"/>
      <name val="Arial"/>
      <family val="2"/>
    </font>
    <font>
      <sz val="14"/>
      <name val="Arial"/>
      <family val="2"/>
    </font>
    <font>
      <b/>
      <i/>
      <sz val="10"/>
      <color theme="1"/>
      <name val="Arial"/>
      <family val="2"/>
    </font>
    <font>
      <i/>
      <sz val="10"/>
      <name val="Arial"/>
      <family val="2"/>
    </font>
    <font>
      <sz val="14"/>
      <color theme="1"/>
      <name val="Arial"/>
      <family val="2"/>
    </font>
    <font>
      <b/>
      <sz val="11"/>
      <name val="Calibri"/>
      <family val="2"/>
      <scheme val="minor"/>
    </font>
    <font>
      <b/>
      <sz val="16"/>
      <color theme="0"/>
      <name val="Arial"/>
      <family val="2"/>
    </font>
    <font>
      <sz val="12"/>
      <color theme="0"/>
      <name val="Arial"/>
      <family val="2"/>
    </font>
    <font>
      <b/>
      <sz val="12"/>
      <color theme="3"/>
      <name val="Arial"/>
      <family val="2"/>
    </font>
    <font>
      <b/>
      <sz val="10"/>
      <color theme="3"/>
      <name val="Arial"/>
      <family val="2"/>
    </font>
    <font>
      <sz val="10"/>
      <name val="Arial"/>
      <family val="2"/>
    </font>
    <font>
      <b/>
      <sz val="10"/>
      <color rgb="FF000000"/>
      <name val="Arial"/>
      <family val="2"/>
    </font>
    <font>
      <sz val="12"/>
      <color theme="1"/>
      <name val="Calibri"/>
      <family val="2"/>
      <scheme val="minor"/>
    </font>
    <font>
      <sz val="10"/>
      <color theme="5"/>
      <name val="Arial"/>
      <family val="2"/>
    </font>
    <font>
      <sz val="11"/>
      <color rgb="FF000000"/>
      <name val="Arial"/>
      <family val="2"/>
    </font>
    <font>
      <sz val="11"/>
      <color rgb="FF252525"/>
      <name val="Arial"/>
      <family val="2"/>
    </font>
    <font>
      <sz val="10"/>
      <color theme="1" tint="0.249977111117893"/>
      <name val="Arial"/>
      <family val="2"/>
    </font>
  </fonts>
  <fills count="32">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rgb="FFA6EEF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4"/>
        <bgColor indexed="64"/>
      </patternFill>
    </fill>
    <fill>
      <patternFill patternType="solid">
        <fgColor theme="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9"/>
        <bgColor indexed="64"/>
      </patternFill>
    </fill>
    <fill>
      <patternFill patternType="solid">
        <fgColor rgb="FFFEE1FF"/>
        <bgColor indexed="64"/>
      </patternFill>
    </fill>
    <fill>
      <patternFill patternType="solid">
        <fgColor theme="6"/>
        <bgColor indexed="64"/>
      </patternFill>
    </fill>
    <fill>
      <patternFill patternType="solid">
        <fgColor theme="6" tint="0.79998168889431442"/>
        <bgColor indexed="64"/>
      </patternFill>
    </fill>
    <fill>
      <patternFill patternType="solid">
        <fgColor theme="7"/>
        <bgColor indexed="64"/>
      </patternFill>
    </fill>
    <fill>
      <patternFill patternType="solid">
        <fgColor theme="6" tint="0.59999389629810485"/>
        <bgColor indexed="64"/>
      </patternFill>
    </fill>
    <fill>
      <patternFill patternType="solid">
        <fgColor theme="3"/>
        <bgColor indexed="64"/>
      </patternFill>
    </fill>
  </fills>
  <borders count="29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hair">
        <color theme="1" tint="0.499984740745262"/>
      </left>
      <right/>
      <top/>
      <bottom/>
      <diagonal/>
    </border>
    <border>
      <left/>
      <right style="hair">
        <color theme="1" tint="0.499984740745262"/>
      </right>
      <top/>
      <bottom/>
      <diagonal/>
    </border>
    <border>
      <left/>
      <right/>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thin">
        <color indexed="64"/>
      </top>
      <bottom style="thin">
        <color indexed="64"/>
      </bottom>
      <diagonal/>
    </border>
    <border>
      <left/>
      <right/>
      <top/>
      <bottom style="hair">
        <color auto="1"/>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hair">
        <color indexed="64"/>
      </right>
      <top/>
      <bottom/>
      <diagonal/>
    </border>
    <border>
      <left/>
      <right style="hair">
        <color indexed="64"/>
      </right>
      <top/>
      <bottom style="hair">
        <color indexed="64"/>
      </bottom>
      <diagonal/>
    </border>
    <border>
      <left/>
      <right style="thin">
        <color theme="4" tint="-0.499984740745262"/>
      </right>
      <top style="thin">
        <color theme="4" tint="-0.499984740745262"/>
      </top>
      <bottom/>
      <diagonal/>
    </border>
    <border>
      <left/>
      <right/>
      <top style="thin">
        <color indexed="64"/>
      </top>
      <bottom/>
      <diagonal/>
    </border>
    <border>
      <left style="thin">
        <color indexed="64"/>
      </left>
      <right/>
      <top/>
      <bottom/>
      <diagonal/>
    </border>
    <border>
      <left/>
      <right style="thin">
        <color indexed="64"/>
      </right>
      <top/>
      <bottom/>
      <diagonal/>
    </border>
    <border diagonalDown="1">
      <left/>
      <right/>
      <top/>
      <bottom/>
      <diagonal style="thin">
        <color auto="1"/>
      </diagonal>
    </border>
    <border>
      <left style="thin">
        <color theme="7" tint="-0.499984740745262"/>
      </left>
      <right style="thin">
        <color theme="7" tint="-0.499984740745262"/>
      </right>
      <top/>
      <bottom style="thin">
        <color theme="7" tint="-0.499984740745262"/>
      </bottom>
      <diagonal/>
    </border>
    <border>
      <left style="medium">
        <color theme="7" tint="-0.499984740745262"/>
      </left>
      <right/>
      <top style="medium">
        <color theme="7" tint="-0.499984740745262"/>
      </top>
      <bottom style="thin">
        <color theme="7" tint="-0.499984740745262"/>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bottom style="thin">
        <color theme="4" tint="-0.499984740745262"/>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8" tint="-0.499984740745262"/>
      </left>
      <right style="thin">
        <color theme="8" tint="-0.499984740745262"/>
      </right>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top style="thin">
        <color theme="8" tint="-0.499984740745262"/>
      </top>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top/>
      <bottom style="thin">
        <color theme="9" tint="-0.499984740745262"/>
      </bottom>
      <diagonal/>
    </border>
    <border>
      <left/>
      <right/>
      <top style="thin">
        <color theme="4" tint="-0.499984740745262"/>
      </top>
      <bottom style="thin">
        <color theme="4" tint="-0.499984740745262"/>
      </bottom>
      <diagonal/>
    </border>
    <border>
      <left/>
      <right style="medium">
        <color theme="1" tint="0.34998626667073579"/>
      </right>
      <top/>
      <bottom style="thin">
        <color theme="4" tint="-0.499984740745262"/>
      </bottom>
      <diagonal/>
    </border>
    <border>
      <left style="thin">
        <color theme="4" tint="-0.499984740745262"/>
      </left>
      <right style="medium">
        <color theme="1" tint="0.34998626667073579"/>
      </right>
      <top style="thin">
        <color theme="4" tint="-0.499984740745262"/>
      </top>
      <bottom style="thin">
        <color theme="4" tint="-0.499984740745262"/>
      </bottom>
      <diagonal/>
    </border>
    <border>
      <left style="medium">
        <color theme="1" tint="0.34998626667073579"/>
      </left>
      <right style="thin">
        <color theme="5" tint="-0.499984740745262"/>
      </right>
      <top/>
      <bottom style="thin">
        <color theme="5" tint="-0.499984740745262"/>
      </bottom>
      <diagonal/>
    </border>
    <border>
      <left style="thin">
        <color theme="5" tint="-0.499984740745262"/>
      </left>
      <right style="medium">
        <color theme="1" tint="0.34998626667073579"/>
      </right>
      <top/>
      <bottom style="thin">
        <color theme="5" tint="-0.499984740745262"/>
      </bottom>
      <diagonal/>
    </border>
    <border>
      <left style="medium">
        <color theme="1" tint="0.34998626667073579"/>
      </left>
      <right style="thin">
        <color theme="5" tint="-0.499984740745262"/>
      </right>
      <top style="thin">
        <color theme="5" tint="-0.499984740745262"/>
      </top>
      <bottom style="thin">
        <color theme="5" tint="-0.499984740745262"/>
      </bottom>
      <diagonal/>
    </border>
    <border>
      <left style="thin">
        <color theme="5" tint="-0.499984740745262"/>
      </left>
      <right style="medium">
        <color theme="1" tint="0.34998626667073579"/>
      </right>
      <top style="thin">
        <color theme="5" tint="-0.499984740745262"/>
      </top>
      <bottom style="thin">
        <color theme="5" tint="-0.499984740745262"/>
      </bottom>
      <diagonal/>
    </border>
    <border>
      <left style="thin">
        <color theme="5" tint="-0.499984740745262"/>
      </left>
      <right style="medium">
        <color theme="1" tint="0.34998626667073579"/>
      </right>
      <top style="thin">
        <color theme="5" tint="-0.499984740745262"/>
      </top>
      <bottom/>
      <diagonal/>
    </border>
    <border>
      <left/>
      <right style="medium">
        <color theme="1" tint="0.34998626667073579"/>
      </right>
      <top/>
      <bottom/>
      <diagonal/>
    </border>
    <border>
      <left style="medium">
        <color theme="1" tint="0.34998626667073579"/>
      </left>
      <right style="thin">
        <color theme="7" tint="-0.499984740745262"/>
      </right>
      <top/>
      <bottom style="thin">
        <color theme="7" tint="-0.499984740745262"/>
      </bottom>
      <diagonal/>
    </border>
    <border>
      <left style="medium">
        <color theme="1" tint="0.34998626667073579"/>
      </left>
      <right/>
      <top/>
      <bottom style="thin">
        <color theme="9" tint="-0.499984740745262"/>
      </bottom>
      <diagonal/>
    </border>
    <border>
      <left style="medium">
        <color theme="1" tint="0.34998626667073579"/>
      </left>
      <right style="thin">
        <color theme="9" tint="-0.499984740745262"/>
      </right>
      <top style="thin">
        <color theme="9" tint="-0.499984740745262"/>
      </top>
      <bottom style="thin">
        <color theme="9" tint="-0.499984740745262"/>
      </bottom>
      <diagonal/>
    </border>
    <border>
      <left style="medium">
        <color theme="1" tint="0.34998626667073579"/>
      </left>
      <right style="thin">
        <color theme="9" tint="-0.499984740745262"/>
      </right>
      <top style="thin">
        <color theme="9" tint="-0.499984740745262"/>
      </top>
      <bottom/>
      <diagonal/>
    </border>
    <border>
      <left/>
      <right style="medium">
        <color theme="1" tint="0.34998626667073579"/>
      </right>
      <top/>
      <bottom style="thin">
        <color theme="9" tint="-0.499984740745262"/>
      </bottom>
      <diagonal/>
    </border>
    <border>
      <left style="thin">
        <color theme="9" tint="-0.499984740745262"/>
      </left>
      <right style="medium">
        <color theme="1" tint="0.34998626667073579"/>
      </right>
      <top style="thin">
        <color theme="9" tint="-0.499984740745262"/>
      </top>
      <bottom style="thin">
        <color theme="9" tint="-0.499984740745262"/>
      </bottom>
      <diagonal/>
    </border>
    <border>
      <left style="thin">
        <color theme="9" tint="-0.499984740745262"/>
      </left>
      <right style="medium">
        <color theme="1" tint="0.34998626667073579"/>
      </right>
      <top style="thin">
        <color theme="9" tint="-0.499984740745262"/>
      </top>
      <bottom/>
      <diagonal/>
    </border>
    <border>
      <left/>
      <right style="medium">
        <color theme="1" tint="0.34998626667073579"/>
      </right>
      <top style="thin">
        <color theme="4" tint="-0.499984740745262"/>
      </top>
      <bottom style="thin">
        <color theme="4" tint="-0.499984740745262"/>
      </bottom>
      <diagonal/>
    </border>
    <border>
      <left style="thin">
        <color theme="8" tint="-0.499984740745262"/>
      </left>
      <right style="medium">
        <color theme="1" tint="0.34998626667073579"/>
      </right>
      <top style="thin">
        <color theme="8" tint="-0.499984740745262"/>
      </top>
      <bottom style="thin">
        <color theme="8" tint="-0.499984740745262"/>
      </bottom>
      <diagonal/>
    </border>
    <border>
      <left style="medium">
        <color theme="1" tint="0.34998626667073579"/>
      </left>
      <right style="thin">
        <color theme="8" tint="-0.499984740745262"/>
      </right>
      <top style="thin">
        <color theme="8" tint="-0.499984740745262"/>
      </top>
      <bottom/>
      <diagonal/>
    </border>
    <border>
      <left style="thin">
        <color theme="8" tint="-0.499984740745262"/>
      </left>
      <right style="medium">
        <color theme="1" tint="0.34998626667073579"/>
      </right>
      <top style="thin">
        <color theme="8" tint="-0.499984740745262"/>
      </top>
      <bottom/>
      <diagonal/>
    </border>
    <border>
      <left style="medium">
        <color theme="1" tint="0.34998626667073579"/>
      </left>
      <right style="thin">
        <color theme="8" tint="-0.499984740745262"/>
      </right>
      <top/>
      <bottom style="thin">
        <color theme="8" tint="-0.499984740745262"/>
      </bottom>
      <diagonal/>
    </border>
    <border>
      <left style="thin">
        <color theme="8" tint="-0.499984740745262"/>
      </left>
      <right style="medium">
        <color theme="1" tint="0.34998626667073579"/>
      </right>
      <top/>
      <bottom style="thin">
        <color theme="8" tint="-0.499984740745262"/>
      </bottom>
      <diagonal/>
    </border>
    <border>
      <left style="medium">
        <color theme="1" tint="0.34998626667073579"/>
      </left>
      <right style="thin">
        <color theme="7" tint="-0.499984740745262"/>
      </right>
      <top style="medium">
        <color theme="1" tint="0.34998626667073579"/>
      </top>
      <bottom style="medium">
        <color theme="1" tint="0.34998626667073579"/>
      </bottom>
      <diagonal/>
    </border>
    <border>
      <left style="thin">
        <color theme="7" tint="-0.499984740745262"/>
      </left>
      <right style="thin">
        <color theme="7" tint="-0.499984740745262"/>
      </right>
      <top style="medium">
        <color theme="1" tint="0.34998626667073579"/>
      </top>
      <bottom style="medium">
        <color theme="1" tint="0.34998626667073579"/>
      </bottom>
      <diagonal/>
    </border>
    <border>
      <left style="thin">
        <color theme="7" tint="-0.499984740745262"/>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theme="9" tint="-0.499984740745262"/>
      </right>
      <top style="medium">
        <color theme="1" tint="0.34998626667073579"/>
      </top>
      <bottom style="medium">
        <color theme="1" tint="0.34998626667073579"/>
      </bottom>
      <diagonal/>
    </border>
    <border>
      <left style="thin">
        <color theme="9" tint="-0.499984740745262"/>
      </left>
      <right style="thin">
        <color theme="9" tint="-0.499984740745262"/>
      </right>
      <top style="medium">
        <color theme="1" tint="0.34998626667073579"/>
      </top>
      <bottom style="medium">
        <color theme="1" tint="0.34998626667073579"/>
      </bottom>
      <diagonal/>
    </border>
    <border>
      <left style="thin">
        <color theme="9" tint="-0.499984740745262"/>
      </left>
      <right style="medium">
        <color theme="1" tint="0.34998626667073579"/>
      </right>
      <top style="medium">
        <color theme="1" tint="0.34998626667073579"/>
      </top>
      <bottom style="medium">
        <color theme="1" tint="0.34998626667073579"/>
      </bottom>
      <diagonal/>
    </border>
    <border>
      <left style="thin">
        <color theme="9" tint="-0.499984740745262"/>
      </left>
      <right/>
      <top style="medium">
        <color theme="1" tint="0.34998626667073579"/>
      </top>
      <bottom style="medium">
        <color theme="1" tint="0.34998626667073579"/>
      </bottom>
      <diagonal/>
    </border>
    <border>
      <left style="medium">
        <color theme="1" tint="0.34998626667073579"/>
      </left>
      <right style="thin">
        <color theme="8" tint="-0.499984740745262"/>
      </right>
      <top style="medium">
        <color theme="1" tint="0.34998626667073579"/>
      </top>
      <bottom style="medium">
        <color theme="1" tint="0.34998626667073579"/>
      </bottom>
      <diagonal/>
    </border>
    <border>
      <left style="thin">
        <color theme="8" tint="-0.499984740745262"/>
      </left>
      <right style="medium">
        <color theme="1" tint="0.34998626667073579"/>
      </right>
      <top style="medium">
        <color theme="1" tint="0.34998626667073579"/>
      </top>
      <bottom style="medium">
        <color theme="1" tint="0.34998626667073579"/>
      </bottom>
      <diagonal/>
    </border>
    <border>
      <left/>
      <right style="thin">
        <color theme="4" tint="-0.499984740745262"/>
      </right>
      <top style="medium">
        <color theme="1" tint="0.34998626667073579"/>
      </top>
      <bottom/>
      <diagonal/>
    </border>
    <border>
      <left/>
      <right/>
      <top style="medium">
        <color theme="1" tint="0.34998626667073579"/>
      </top>
      <bottom/>
      <diagonal/>
    </border>
    <border>
      <left style="thin">
        <color theme="4" tint="-0.499984740745262"/>
      </left>
      <right/>
      <top style="medium">
        <color theme="1" tint="0.34998626667073579"/>
      </top>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medium">
        <color theme="1" tint="0.34998626667073579"/>
      </right>
      <top/>
      <bottom style="medium">
        <color theme="1" tint="0.34998626667073579"/>
      </bottom>
      <diagonal/>
    </border>
    <border>
      <left/>
      <right style="thin">
        <color theme="8" tint="-0.499984740745262"/>
      </right>
      <top/>
      <bottom style="thin">
        <color theme="8" tint="-0.499984740745262"/>
      </bottom>
      <diagonal/>
    </border>
    <border>
      <left style="thin">
        <color theme="4" tint="-0.499984740745262"/>
      </left>
      <right style="medium">
        <color theme="1" tint="0.34998626667073579"/>
      </right>
      <top style="thin">
        <color theme="4" tint="-0.499984740745262"/>
      </top>
      <bottom/>
      <diagonal/>
    </border>
    <border>
      <left style="medium">
        <color theme="1" tint="0.34998626667073579"/>
      </left>
      <right style="thin">
        <color theme="5" tint="-0.499984740745262"/>
      </right>
      <top style="thin">
        <color theme="5" tint="-0.499984740745262"/>
      </top>
      <bottom/>
      <diagonal/>
    </border>
    <border>
      <left style="medium">
        <color theme="1" tint="0.34998626667073579"/>
      </left>
      <right style="thin">
        <color theme="6" tint="-0.499984740745262"/>
      </right>
      <top/>
      <bottom style="thin">
        <color theme="6" tint="-0.499984740745262"/>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theme="1" tint="0.34998626667073579"/>
      </right>
      <top/>
      <bottom style="thin">
        <color theme="6" tint="-0.499984740745262"/>
      </bottom>
      <diagonal/>
    </border>
    <border>
      <left style="medium">
        <color theme="1" tint="0.34998626667073579"/>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theme="1" tint="0.34998626667073579"/>
      </right>
      <top style="thin">
        <color theme="6" tint="-0.499984740745262"/>
      </top>
      <bottom style="thin">
        <color theme="6" tint="-0.499984740745262"/>
      </bottom>
      <diagonal/>
    </border>
    <border>
      <left style="medium">
        <color theme="1" tint="0.34998626667073579"/>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theme="1" tint="0.34998626667073579"/>
      </bottom>
      <diagonal/>
    </border>
    <border>
      <left/>
      <right style="medium">
        <color theme="6" tint="-0.499984740745262"/>
      </right>
      <top/>
      <bottom/>
      <diagonal/>
    </border>
    <border>
      <left style="thin">
        <color theme="6" tint="-0.499984740745262"/>
      </left>
      <right style="medium">
        <color theme="1" tint="0.34998626667073579"/>
      </right>
      <top style="thin">
        <color theme="6" tint="-0.499984740745262"/>
      </top>
      <bottom/>
      <diagonal/>
    </border>
    <border>
      <left style="medium">
        <color theme="1" tint="0.34998626667073579"/>
      </left>
      <right style="thin">
        <color theme="7" tint="-0.499984740745262"/>
      </right>
      <top style="thin">
        <color theme="8" tint="-0.499984740745262"/>
      </top>
      <bottom/>
      <diagonal/>
    </border>
    <border>
      <left style="thin">
        <color theme="7" tint="-0.499984740745262"/>
      </left>
      <right style="thin">
        <color theme="7" tint="-0.499984740745262"/>
      </right>
      <top style="thin">
        <color theme="8" tint="-0.499984740745262"/>
      </top>
      <bottom/>
      <diagonal/>
    </border>
    <border>
      <left style="thin">
        <color theme="7" tint="-0.499984740745262"/>
      </left>
      <right style="medium">
        <color theme="1" tint="0.34998626667073579"/>
      </right>
      <top style="thin">
        <color theme="8" tint="-0.499984740745262"/>
      </top>
      <bottom/>
      <diagonal/>
    </border>
    <border>
      <left style="medium">
        <color theme="1" tint="0.34998626667073579"/>
      </left>
      <right style="thin">
        <color theme="9" tint="-0.499984740745262"/>
      </right>
      <top style="thin">
        <color theme="8" tint="-0.499984740745262"/>
      </top>
      <bottom/>
      <diagonal/>
    </border>
    <border>
      <left style="thin">
        <color theme="9" tint="-0.499984740745262"/>
      </left>
      <right style="thin">
        <color theme="9" tint="-0.499984740745262"/>
      </right>
      <top style="thin">
        <color theme="8" tint="-0.499984740745262"/>
      </top>
      <bottom/>
      <diagonal/>
    </border>
    <border>
      <left style="thin">
        <color theme="9" tint="-0.499984740745262"/>
      </left>
      <right style="medium">
        <color theme="1" tint="0.34998626667073579"/>
      </right>
      <top style="thin">
        <color theme="8" tint="-0.499984740745262"/>
      </top>
      <bottom/>
      <diagonal/>
    </border>
    <border>
      <left/>
      <right style="thin">
        <color theme="9" tint="-0.499984740745262"/>
      </right>
      <top style="thin">
        <color theme="8" tint="-0.499984740745262"/>
      </top>
      <bottom/>
      <diagonal/>
    </border>
    <border>
      <left style="thin">
        <color theme="9" tint="-0.499984740745262"/>
      </left>
      <right/>
      <top style="thin">
        <color theme="8" tint="-0.499984740745262"/>
      </top>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theme="1" tint="0.34998626667073579"/>
      </left>
      <right style="thin">
        <color theme="6" tint="-0.499984740745262"/>
      </right>
      <top style="thin">
        <color theme="6" tint="-0.499984740745262"/>
      </top>
      <bottom style="medium">
        <color theme="1" tint="0.34998626667073579"/>
      </bottom>
      <diagonal/>
    </border>
    <border>
      <left style="thin">
        <color theme="6" tint="-0.499984740745262"/>
      </left>
      <right style="thin">
        <color theme="6" tint="-0.499984740745262"/>
      </right>
      <top style="thin">
        <color theme="6" tint="-0.499984740745262"/>
      </top>
      <bottom style="medium">
        <color theme="1" tint="0.34998626667073579"/>
      </bottom>
      <diagonal/>
    </border>
    <border>
      <left style="thin">
        <color theme="6" tint="-0.499984740745262"/>
      </left>
      <right style="medium">
        <color theme="1" tint="0.34998626667073579"/>
      </right>
      <top style="thin">
        <color theme="6" tint="-0.499984740745262"/>
      </top>
      <bottom style="medium">
        <color theme="1" tint="0.34998626667073579"/>
      </bottom>
      <diagonal/>
    </border>
    <border>
      <left/>
      <right style="thin">
        <color indexed="64"/>
      </right>
      <top style="hair">
        <color theme="3" tint="-0.499984740745262"/>
      </top>
      <bottom style="hair">
        <color theme="3" tint="-0.499984740745262"/>
      </bottom>
      <diagonal/>
    </border>
    <border>
      <left style="thin">
        <color indexed="64"/>
      </left>
      <right style="thin">
        <color indexed="64"/>
      </right>
      <top style="hair">
        <color theme="3" tint="-0.499984740745262"/>
      </top>
      <bottom style="hair">
        <color theme="3" tint="-0.499984740745262"/>
      </bottom>
      <diagonal/>
    </border>
    <border>
      <left/>
      <right/>
      <top style="hair">
        <color theme="3" tint="-0.499984740745262"/>
      </top>
      <bottom style="hair">
        <color theme="3" tint="-0.499984740745262"/>
      </bottom>
      <diagonal/>
    </border>
    <border>
      <left/>
      <right style="thin">
        <color indexed="64"/>
      </right>
      <top style="hair">
        <color theme="3" tint="-0.499984740745262"/>
      </top>
      <bottom/>
      <diagonal/>
    </border>
    <border>
      <left style="thin">
        <color indexed="64"/>
      </left>
      <right style="thin">
        <color indexed="64"/>
      </right>
      <top style="hair">
        <color theme="3" tint="-0.499984740745262"/>
      </top>
      <bottom/>
      <diagonal/>
    </border>
    <border>
      <left/>
      <right/>
      <top style="hair">
        <color theme="3" tint="-0.499984740745262"/>
      </top>
      <bottom/>
      <diagonal/>
    </border>
    <border>
      <left/>
      <right/>
      <top style="thin">
        <color theme="3" tint="-0.499984740745262"/>
      </top>
      <bottom style="hair">
        <color theme="3" tint="-0.499984740745262"/>
      </bottom>
      <diagonal/>
    </border>
    <border>
      <left/>
      <right style="thin">
        <color indexed="64"/>
      </right>
      <top style="thin">
        <color theme="3" tint="-0.499984740745262"/>
      </top>
      <bottom style="hair">
        <color theme="3" tint="-0.499984740745262"/>
      </bottom>
      <diagonal/>
    </border>
    <border>
      <left style="thin">
        <color indexed="64"/>
      </left>
      <right style="thin">
        <color indexed="64"/>
      </right>
      <top style="thin">
        <color theme="3" tint="-0.499984740745262"/>
      </top>
      <bottom style="hair">
        <color theme="3" tint="-0.499984740745262"/>
      </bottom>
      <diagonal/>
    </border>
    <border>
      <left/>
      <right/>
      <top style="medium">
        <color theme="1" tint="0.34998626667073579"/>
      </top>
      <bottom style="hair">
        <color theme="1" tint="0.34998626667073579"/>
      </bottom>
      <diagonal/>
    </border>
    <border>
      <left/>
      <right style="medium">
        <color theme="1" tint="0.34998626667073579"/>
      </right>
      <top style="medium">
        <color theme="1" tint="0.34998626667073579"/>
      </top>
      <bottom style="hair">
        <color theme="1" tint="0.34998626667073579"/>
      </bottom>
      <diagonal/>
    </border>
    <border>
      <left style="medium">
        <color theme="1" tint="0.34998626667073579"/>
      </left>
      <right style="thin">
        <color theme="8" tint="-0.499984740745262"/>
      </right>
      <top style="medium">
        <color theme="1" tint="0.34998626667073579"/>
      </top>
      <bottom style="hair">
        <color theme="1" tint="0.34998626667073579"/>
      </bottom>
      <diagonal/>
    </border>
    <border>
      <left style="thin">
        <color theme="7" tint="-0.499984740745262"/>
      </left>
      <right style="thin">
        <color theme="7" tint="-0.499984740745262"/>
      </right>
      <top style="medium">
        <color theme="1" tint="0.34998626667073579"/>
      </top>
      <bottom style="hair">
        <color theme="1" tint="0.34998626667073579"/>
      </bottom>
      <diagonal/>
    </border>
    <border>
      <left style="thin">
        <color theme="8" tint="-0.499984740745262"/>
      </left>
      <right style="medium">
        <color theme="1" tint="0.34998626667073579"/>
      </right>
      <top style="medium">
        <color theme="1" tint="0.34998626667073579"/>
      </top>
      <bottom style="hair">
        <color theme="1" tint="0.34998626667073579"/>
      </bottom>
      <diagonal/>
    </border>
    <border>
      <left style="medium">
        <color theme="1" tint="0.34998626667073579"/>
      </left>
      <right style="thin">
        <color theme="7" tint="-0.499984740745262"/>
      </right>
      <top style="medium">
        <color theme="1" tint="0.34998626667073579"/>
      </top>
      <bottom style="hair">
        <color theme="1" tint="0.34998626667073579"/>
      </bottom>
      <diagonal/>
    </border>
    <border>
      <left style="thin">
        <color theme="7" tint="-0.499984740745262"/>
      </left>
      <right style="medium">
        <color theme="1" tint="0.34998626667073579"/>
      </right>
      <top style="medium">
        <color theme="1" tint="0.34998626667073579"/>
      </top>
      <bottom style="hair">
        <color theme="1" tint="0.34998626667073579"/>
      </bottom>
      <diagonal/>
    </border>
    <border>
      <left style="medium">
        <color theme="1" tint="0.34998626667073579"/>
      </left>
      <right style="thin">
        <color theme="9" tint="-0.499984740745262"/>
      </right>
      <top style="medium">
        <color theme="1" tint="0.34998626667073579"/>
      </top>
      <bottom style="hair">
        <color theme="1" tint="0.34998626667073579"/>
      </bottom>
      <diagonal/>
    </border>
    <border>
      <left style="thin">
        <color theme="9" tint="-0.499984740745262"/>
      </left>
      <right style="thin">
        <color theme="9" tint="-0.499984740745262"/>
      </right>
      <top style="medium">
        <color theme="1" tint="0.34998626667073579"/>
      </top>
      <bottom style="hair">
        <color theme="1" tint="0.34998626667073579"/>
      </bottom>
      <diagonal/>
    </border>
    <border>
      <left style="thin">
        <color theme="9" tint="-0.499984740745262"/>
      </left>
      <right style="medium">
        <color theme="1" tint="0.34998626667073579"/>
      </right>
      <top style="medium">
        <color theme="1" tint="0.34998626667073579"/>
      </top>
      <bottom style="hair">
        <color theme="1" tint="0.34998626667073579"/>
      </bottom>
      <diagonal/>
    </border>
    <border>
      <left style="thin">
        <color theme="9" tint="-0.499984740745262"/>
      </left>
      <right/>
      <top style="medium">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style="thin">
        <color theme="8" tint="-0.499984740745262"/>
      </right>
      <top style="hair">
        <color theme="1" tint="0.34998626667073579"/>
      </top>
      <bottom style="hair">
        <color theme="1" tint="0.34998626667073579"/>
      </bottom>
      <diagonal/>
    </border>
    <border>
      <left style="thin">
        <color theme="7" tint="-0.499984740745262"/>
      </left>
      <right style="thin">
        <color theme="7" tint="-0.499984740745262"/>
      </right>
      <top style="hair">
        <color theme="1" tint="0.34998626667073579"/>
      </top>
      <bottom style="hair">
        <color theme="1" tint="0.34998626667073579"/>
      </bottom>
      <diagonal/>
    </border>
    <border>
      <left style="thin">
        <color theme="8" tint="-0.499984740745262"/>
      </left>
      <right style="medium">
        <color theme="1" tint="0.34998626667073579"/>
      </right>
      <top style="hair">
        <color theme="1" tint="0.34998626667073579"/>
      </top>
      <bottom style="hair">
        <color theme="1" tint="0.34998626667073579"/>
      </bottom>
      <diagonal/>
    </border>
    <border>
      <left style="medium">
        <color theme="1" tint="0.34998626667073579"/>
      </left>
      <right style="thin">
        <color theme="7" tint="-0.499984740745262"/>
      </right>
      <top style="hair">
        <color theme="1" tint="0.34998626667073579"/>
      </top>
      <bottom style="hair">
        <color theme="1" tint="0.34998626667073579"/>
      </bottom>
      <diagonal/>
    </border>
    <border>
      <left style="thin">
        <color theme="7" tint="-0.499984740745262"/>
      </left>
      <right style="medium">
        <color theme="1" tint="0.34998626667073579"/>
      </right>
      <top style="hair">
        <color theme="1" tint="0.34998626667073579"/>
      </top>
      <bottom style="hair">
        <color theme="1" tint="0.34998626667073579"/>
      </bottom>
      <diagonal/>
    </border>
    <border>
      <left style="medium">
        <color theme="1" tint="0.34998626667073579"/>
      </left>
      <right style="thin">
        <color theme="9" tint="-0.499984740745262"/>
      </right>
      <top style="hair">
        <color theme="1" tint="0.34998626667073579"/>
      </top>
      <bottom style="hair">
        <color theme="1" tint="0.34998626667073579"/>
      </bottom>
      <diagonal/>
    </border>
    <border>
      <left style="thin">
        <color theme="9" tint="-0.499984740745262"/>
      </left>
      <right style="thin">
        <color theme="9" tint="-0.499984740745262"/>
      </right>
      <top style="hair">
        <color theme="1" tint="0.34998626667073579"/>
      </top>
      <bottom style="hair">
        <color theme="1" tint="0.34998626667073579"/>
      </bottom>
      <diagonal/>
    </border>
    <border>
      <left style="thin">
        <color theme="9" tint="-0.499984740745262"/>
      </left>
      <right style="medium">
        <color theme="1" tint="0.34998626667073579"/>
      </right>
      <top style="hair">
        <color theme="1" tint="0.34998626667073579"/>
      </top>
      <bottom style="hair">
        <color theme="1" tint="0.34998626667073579"/>
      </bottom>
      <diagonal/>
    </border>
    <border>
      <left style="thin">
        <color theme="9" tint="-0.499984740745262"/>
      </left>
      <right/>
      <top style="hair">
        <color theme="1" tint="0.34998626667073579"/>
      </top>
      <bottom style="hair">
        <color theme="1" tint="0.34998626667073579"/>
      </bottom>
      <diagonal/>
    </border>
    <border>
      <left/>
      <right/>
      <top style="hair">
        <color theme="1" tint="0.34998626667073579"/>
      </top>
      <bottom/>
      <diagonal/>
    </border>
    <border>
      <left/>
      <right style="medium">
        <color theme="1" tint="0.34998626667073579"/>
      </right>
      <top style="hair">
        <color theme="1" tint="0.34998626667073579"/>
      </top>
      <bottom/>
      <diagonal/>
    </border>
    <border>
      <left style="medium">
        <color theme="1" tint="0.34998626667073579"/>
      </left>
      <right style="thin">
        <color theme="8" tint="-0.499984740745262"/>
      </right>
      <top style="hair">
        <color theme="1" tint="0.34998626667073579"/>
      </top>
      <bottom/>
      <diagonal/>
    </border>
    <border>
      <left style="thin">
        <color theme="7" tint="-0.499984740745262"/>
      </left>
      <right style="thin">
        <color theme="7" tint="-0.499984740745262"/>
      </right>
      <top style="hair">
        <color theme="1" tint="0.34998626667073579"/>
      </top>
      <bottom/>
      <diagonal/>
    </border>
    <border>
      <left style="thin">
        <color theme="8" tint="-0.499984740745262"/>
      </left>
      <right style="medium">
        <color theme="1" tint="0.34998626667073579"/>
      </right>
      <top style="hair">
        <color theme="1" tint="0.34998626667073579"/>
      </top>
      <bottom/>
      <diagonal/>
    </border>
    <border>
      <left style="medium">
        <color theme="1" tint="0.34998626667073579"/>
      </left>
      <right style="thin">
        <color theme="7" tint="-0.499984740745262"/>
      </right>
      <top style="hair">
        <color theme="1" tint="0.34998626667073579"/>
      </top>
      <bottom/>
      <diagonal/>
    </border>
    <border>
      <left style="thin">
        <color theme="7" tint="-0.499984740745262"/>
      </left>
      <right style="medium">
        <color theme="1" tint="0.34998626667073579"/>
      </right>
      <top style="hair">
        <color theme="1" tint="0.34998626667073579"/>
      </top>
      <bottom/>
      <diagonal/>
    </border>
    <border>
      <left style="medium">
        <color theme="1" tint="0.34998626667073579"/>
      </left>
      <right style="thin">
        <color theme="9" tint="-0.499984740745262"/>
      </right>
      <top style="hair">
        <color theme="1" tint="0.34998626667073579"/>
      </top>
      <bottom/>
      <diagonal/>
    </border>
    <border>
      <left style="thin">
        <color theme="9" tint="-0.499984740745262"/>
      </left>
      <right style="thin">
        <color theme="9" tint="-0.499984740745262"/>
      </right>
      <top style="hair">
        <color theme="1" tint="0.34998626667073579"/>
      </top>
      <bottom/>
      <diagonal/>
    </border>
    <border>
      <left style="thin">
        <color theme="9" tint="-0.499984740745262"/>
      </left>
      <right style="medium">
        <color theme="1" tint="0.34998626667073579"/>
      </right>
      <top style="hair">
        <color theme="1" tint="0.34998626667073579"/>
      </top>
      <bottom/>
      <diagonal/>
    </border>
    <border>
      <left style="thin">
        <color theme="9" tint="-0.499984740745262"/>
      </left>
      <right/>
      <top style="hair">
        <color theme="1" tint="0.34998626667073579"/>
      </top>
      <bottom/>
      <diagonal/>
    </border>
    <border>
      <left/>
      <right/>
      <top style="thin">
        <color theme="4" tint="-0.499984740745262"/>
      </top>
      <bottom style="hair">
        <color theme="1" tint="0.34998626667073579"/>
      </bottom>
      <diagonal/>
    </border>
    <border>
      <left/>
      <right style="thin">
        <color theme="4" tint="-0.499984740745262"/>
      </right>
      <top style="thin">
        <color theme="4" tint="-0.499984740745262"/>
      </top>
      <bottom style="hair">
        <color theme="1" tint="0.34998626667073579"/>
      </bottom>
      <diagonal/>
    </border>
    <border>
      <left style="thin">
        <color theme="4" tint="-0.499984740745262"/>
      </left>
      <right/>
      <top style="thin">
        <color theme="4" tint="-0.499984740745262"/>
      </top>
      <bottom style="hair">
        <color theme="1" tint="0.34998626667073579"/>
      </bottom>
      <diagonal/>
    </border>
    <border>
      <left/>
      <right style="medium">
        <color theme="1" tint="0.34998626667073579"/>
      </right>
      <top style="thin">
        <color theme="4" tint="-0.499984740745262"/>
      </top>
      <bottom style="hair">
        <color theme="1" tint="0.34998626667073579"/>
      </bottom>
      <diagonal/>
    </border>
    <border>
      <left style="thin">
        <color theme="4" tint="-0.499984740745262"/>
      </left>
      <right style="thin">
        <color theme="4" tint="-0.499984740745262"/>
      </right>
      <top style="thin">
        <color theme="4" tint="-0.499984740745262"/>
      </top>
      <bottom style="hair">
        <color theme="1" tint="0.34998626667073579"/>
      </bottom>
      <diagonal/>
    </border>
    <border>
      <left/>
      <right style="thin">
        <color theme="4" tint="-0.499984740745262"/>
      </right>
      <top style="hair">
        <color theme="1" tint="0.34998626667073579"/>
      </top>
      <bottom style="hair">
        <color theme="1" tint="0.34998626667073579"/>
      </bottom>
      <diagonal/>
    </border>
    <border>
      <left style="thin">
        <color theme="4" tint="-0.499984740745262"/>
      </left>
      <right/>
      <top style="hair">
        <color theme="1" tint="0.34998626667073579"/>
      </top>
      <bottom style="hair">
        <color theme="1" tint="0.34998626667073579"/>
      </bottom>
      <diagonal/>
    </border>
    <border>
      <left style="thin">
        <color theme="4" tint="-0.499984740745262"/>
      </left>
      <right style="thin">
        <color theme="4" tint="-0.499984740745262"/>
      </right>
      <top style="hair">
        <color theme="1" tint="0.34998626667073579"/>
      </top>
      <bottom style="hair">
        <color theme="1" tint="0.34998626667073579"/>
      </bottom>
      <diagonal/>
    </border>
    <border>
      <left/>
      <right/>
      <top style="hair">
        <color theme="1" tint="0.34998626667073579"/>
      </top>
      <bottom style="medium">
        <color theme="1" tint="0.34998626667073579"/>
      </bottom>
      <diagonal/>
    </border>
    <border>
      <left/>
      <right style="thin">
        <color theme="4" tint="-0.499984740745262"/>
      </right>
      <top style="hair">
        <color theme="1" tint="0.34998626667073579"/>
      </top>
      <bottom style="medium">
        <color theme="1" tint="0.34998626667073579"/>
      </bottom>
      <diagonal/>
    </border>
    <border>
      <left style="thin">
        <color theme="4" tint="-0.499984740745262"/>
      </left>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thin">
        <color theme="4" tint="-0.499984740745262"/>
      </left>
      <right style="thin">
        <color theme="4" tint="-0.499984740745262"/>
      </right>
      <top style="hair">
        <color theme="1" tint="0.34998626667073579"/>
      </top>
      <bottom style="medium">
        <color theme="1" tint="0.34998626667073579"/>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bottom style="hair">
        <color indexed="64"/>
      </bottom>
      <diagonal/>
    </border>
    <border>
      <left/>
      <right/>
      <top/>
      <bottom style="hair">
        <color theme="1" tint="0.34998626667073579"/>
      </bottom>
      <diagonal/>
    </border>
    <border>
      <left/>
      <right style="medium">
        <color theme="1" tint="0.34998626667073579"/>
      </right>
      <top style="thin">
        <color theme="6" tint="-0.499984740745262"/>
      </top>
      <bottom style="hair">
        <color theme="1" tint="0.34998626667073579"/>
      </bottom>
      <diagonal/>
    </border>
    <border>
      <left style="medium">
        <color theme="1" tint="0.34998626667073579"/>
      </left>
      <right style="thin">
        <color theme="8" tint="-0.499984740745262"/>
      </right>
      <top style="thin">
        <color theme="8" tint="-0.499984740745262"/>
      </top>
      <bottom style="hair">
        <color theme="1" tint="0.34998626667073579"/>
      </bottom>
      <diagonal/>
    </border>
    <border>
      <left style="thin">
        <color theme="8" tint="-0.499984740745262"/>
      </left>
      <right style="thin">
        <color theme="8" tint="-0.499984740745262"/>
      </right>
      <top style="thin">
        <color theme="8" tint="-0.499984740745262"/>
      </top>
      <bottom style="hair">
        <color theme="1" tint="0.34998626667073579"/>
      </bottom>
      <diagonal/>
    </border>
    <border>
      <left style="thin">
        <color theme="8" tint="-0.499984740745262"/>
      </left>
      <right style="medium">
        <color theme="1" tint="0.34998626667073579"/>
      </right>
      <top style="thin">
        <color theme="8" tint="-0.499984740745262"/>
      </top>
      <bottom style="hair">
        <color theme="1" tint="0.34998626667073579"/>
      </bottom>
      <diagonal/>
    </border>
    <border>
      <left style="medium">
        <color theme="1" tint="0.34998626667073579"/>
      </left>
      <right style="thin">
        <color theme="9" tint="-0.499984740745262"/>
      </right>
      <top style="thin">
        <color theme="9" tint="-0.499984740745262"/>
      </top>
      <bottom style="hair">
        <color theme="1" tint="0.34998626667073579"/>
      </bottom>
      <diagonal/>
    </border>
    <border>
      <left style="thin">
        <color theme="9" tint="-0.499984740745262"/>
      </left>
      <right style="thin">
        <color theme="9" tint="-0.499984740745262"/>
      </right>
      <top style="thin">
        <color theme="9" tint="-0.499984740745262"/>
      </top>
      <bottom style="hair">
        <color theme="1" tint="0.34998626667073579"/>
      </bottom>
      <diagonal/>
    </border>
    <border>
      <left style="thin">
        <color theme="9" tint="-0.499984740745262"/>
      </left>
      <right style="medium">
        <color theme="1" tint="0.34998626667073579"/>
      </right>
      <top style="thin">
        <color theme="9" tint="-0.499984740745262"/>
      </top>
      <bottom style="hair">
        <color theme="1" tint="0.34998626667073579"/>
      </bottom>
      <diagonal/>
    </border>
    <border>
      <left style="thin">
        <color theme="9" tint="-0.499984740745262"/>
      </left>
      <right/>
      <top style="thin">
        <color theme="9" tint="-0.499984740745262"/>
      </top>
      <bottom style="hair">
        <color theme="1" tint="0.34998626667073579"/>
      </bottom>
      <diagonal/>
    </border>
    <border>
      <left style="thin">
        <color theme="8" tint="-0.499984740745262"/>
      </left>
      <right style="thin">
        <color theme="8" tint="-0.499984740745262"/>
      </right>
      <top style="hair">
        <color theme="1" tint="0.34998626667073579"/>
      </top>
      <bottom style="hair">
        <color theme="1" tint="0.34998626667073579"/>
      </bottom>
      <diagonal/>
    </border>
    <border>
      <left/>
      <right/>
      <top style="hair">
        <color theme="1" tint="0.34998626667073579"/>
      </top>
      <bottom style="thin">
        <color theme="4" tint="-0.499984740745262"/>
      </bottom>
      <diagonal/>
    </border>
    <border>
      <left/>
      <right style="medium">
        <color theme="1" tint="0.34998626667073579"/>
      </right>
      <top style="hair">
        <color theme="1" tint="0.34998626667073579"/>
      </top>
      <bottom style="thin">
        <color theme="6" tint="-0.499984740745262"/>
      </bottom>
      <diagonal/>
    </border>
    <border>
      <left style="medium">
        <color theme="1" tint="0.34998626667073579"/>
      </left>
      <right style="thin">
        <color theme="8" tint="-0.499984740745262"/>
      </right>
      <top style="hair">
        <color theme="1" tint="0.34998626667073579"/>
      </top>
      <bottom style="thin">
        <color theme="7" tint="-0.499984740745262"/>
      </bottom>
      <diagonal/>
    </border>
    <border>
      <left style="thin">
        <color theme="8" tint="-0.499984740745262"/>
      </left>
      <right style="thin">
        <color theme="8" tint="-0.499984740745262"/>
      </right>
      <top style="hair">
        <color theme="1" tint="0.34998626667073579"/>
      </top>
      <bottom style="thin">
        <color theme="8" tint="-0.499984740745262"/>
      </bottom>
      <diagonal/>
    </border>
    <border>
      <left style="thin">
        <color theme="8" tint="-0.499984740745262"/>
      </left>
      <right style="medium">
        <color theme="1" tint="0.34998626667073579"/>
      </right>
      <top style="hair">
        <color theme="1" tint="0.34998626667073579"/>
      </top>
      <bottom style="thin">
        <color theme="7" tint="-0.499984740745262"/>
      </bottom>
      <diagonal/>
    </border>
    <border>
      <left style="medium">
        <color theme="1" tint="0.34998626667073579"/>
      </left>
      <right style="thin">
        <color theme="9" tint="-0.499984740745262"/>
      </right>
      <top style="hair">
        <color theme="1" tint="0.34998626667073579"/>
      </top>
      <bottom style="thin">
        <color theme="9" tint="-0.499984740745262"/>
      </bottom>
      <diagonal/>
    </border>
    <border>
      <left style="thin">
        <color theme="9" tint="-0.499984740745262"/>
      </left>
      <right style="thin">
        <color theme="9" tint="-0.499984740745262"/>
      </right>
      <top style="hair">
        <color theme="1" tint="0.34998626667073579"/>
      </top>
      <bottom style="thin">
        <color theme="9" tint="-0.499984740745262"/>
      </bottom>
      <diagonal/>
    </border>
    <border>
      <left style="thin">
        <color theme="9" tint="-0.499984740745262"/>
      </left>
      <right style="medium">
        <color theme="1" tint="0.34998626667073579"/>
      </right>
      <top style="hair">
        <color theme="1" tint="0.34998626667073579"/>
      </top>
      <bottom style="thin">
        <color theme="9" tint="-0.499984740745262"/>
      </bottom>
      <diagonal/>
    </border>
    <border>
      <left style="thin">
        <color theme="9" tint="-0.499984740745262"/>
      </left>
      <right/>
      <top style="hair">
        <color theme="1" tint="0.34998626667073579"/>
      </top>
      <bottom style="thin">
        <color theme="9" tint="-0.499984740745262"/>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medium">
        <color auto="1"/>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medium">
        <color auto="1"/>
      </bottom>
      <diagonal/>
    </border>
    <border>
      <left style="thin">
        <color theme="1" tint="0.34998626667073579"/>
      </left>
      <right style="medium">
        <color auto="1"/>
      </right>
      <top style="hair">
        <color theme="1" tint="0.34998626667073579"/>
      </top>
      <bottom style="medium">
        <color auto="1"/>
      </bottom>
      <diagonal/>
    </border>
    <border>
      <left style="medium">
        <color auto="1"/>
      </left>
      <right style="thin">
        <color theme="1" tint="0.34998626667073579"/>
      </right>
      <top style="medium">
        <color auto="1"/>
      </top>
      <bottom style="hair">
        <color theme="1" tint="0.34998626667073579"/>
      </bottom>
      <diagonal/>
    </border>
    <border>
      <left style="thin">
        <color theme="1" tint="0.34998626667073579"/>
      </left>
      <right style="thin">
        <color theme="1" tint="0.34998626667073579"/>
      </right>
      <top style="medium">
        <color auto="1"/>
      </top>
      <bottom style="hair">
        <color theme="1" tint="0.34998626667073579"/>
      </bottom>
      <diagonal/>
    </border>
    <border>
      <left style="thin">
        <color theme="1" tint="0.34998626667073579"/>
      </left>
      <right style="medium">
        <color auto="1"/>
      </right>
      <top style="medium">
        <color auto="1"/>
      </top>
      <bottom style="hair">
        <color theme="1" tint="0.34998626667073579"/>
      </bottom>
      <diagonal/>
    </border>
    <border>
      <left style="medium">
        <color auto="1"/>
      </left>
      <right style="thin">
        <color theme="1" tint="0.34998626667073579"/>
      </right>
      <top style="hair">
        <color theme="1" tint="0.34998626667073579"/>
      </top>
      <bottom style="hair">
        <color theme="1" tint="0.34998626667073579"/>
      </bottom>
      <diagonal/>
    </border>
    <border>
      <left style="medium">
        <color auto="1"/>
      </left>
      <right style="thin">
        <color theme="1" tint="0.34998626667073579"/>
      </right>
      <top style="hair">
        <color theme="1" tint="0.34998626667073579"/>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auto="1"/>
      </left>
      <right style="thin">
        <color auto="1"/>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bottom style="hair">
        <color theme="1" tint="0.34998626667073579"/>
      </bottom>
      <diagonal/>
    </border>
    <border>
      <left style="thin">
        <color theme="1" tint="0.34998626667073579"/>
      </left>
      <right style="thin">
        <color theme="1" tint="0.34998626667073579"/>
      </right>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hair">
        <color theme="1" tint="0.499984740745262"/>
      </left>
      <right/>
      <top style="hair">
        <color theme="1" tint="0.499984740745262"/>
      </top>
      <bottom/>
      <diagonal/>
    </border>
    <border>
      <left style="hair">
        <color theme="1" tint="0.499984740745262"/>
      </left>
      <right/>
      <top/>
      <bottom style="hair">
        <color theme="1" tint="0.499984740745262"/>
      </bottom>
      <diagonal/>
    </border>
    <border>
      <left/>
      <right style="hair">
        <color theme="1" tint="0.499984740745262"/>
      </right>
      <top/>
      <bottom style="hair">
        <color theme="1" tint="0.499984740745262"/>
      </bottom>
      <diagonal/>
    </border>
    <border>
      <left style="hair">
        <color indexed="64"/>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5">
    <xf numFmtId="0" fontId="0" fillId="0" borderId="0"/>
    <xf numFmtId="9" fontId="21" fillId="0" borderId="0" applyFont="0" applyFill="0" applyBorder="0" applyAlignment="0" applyProtection="0"/>
    <xf numFmtId="0" fontId="30" fillId="0" borderId="0" applyNumberFormat="0" applyFill="0" applyBorder="0" applyAlignment="0" applyProtection="0">
      <alignment vertical="top"/>
      <protection locked="0"/>
    </xf>
    <xf numFmtId="0" fontId="25" fillId="0" borderId="0"/>
    <xf numFmtId="44" fontId="21" fillId="0" borderId="0" applyFont="0" applyFill="0" applyBorder="0" applyAlignment="0" applyProtection="0"/>
  </cellStyleXfs>
  <cellXfs count="933">
    <xf numFmtId="0" fontId="0" fillId="0" borderId="0" xfId="0"/>
    <xf numFmtId="0" fontId="17" fillId="0" borderId="0" xfId="0" applyFont="1" applyAlignment="1">
      <alignment horizontal="center"/>
    </xf>
    <xf numFmtId="0" fontId="15" fillId="0" borderId="0" xfId="0" applyFont="1"/>
    <xf numFmtId="0" fontId="15" fillId="0" borderId="0" xfId="0" applyFont="1" applyAlignment="1">
      <alignment horizontal="right"/>
    </xf>
    <xf numFmtId="0" fontId="15" fillId="0" borderId="0" xfId="0" applyFont="1" applyBorder="1"/>
    <xf numFmtId="0" fontId="20" fillId="0" borderId="0" xfId="0" applyFont="1" applyFill="1" applyBorder="1" applyAlignment="1">
      <alignment horizontal="right" wrapText="1"/>
    </xf>
    <xf numFmtId="2" fontId="15" fillId="0" borderId="0" xfId="0" applyNumberFormat="1" applyFont="1" applyFill="1"/>
    <xf numFmtId="0" fontId="15" fillId="0" borderId="0" xfId="0" applyFont="1" applyFill="1"/>
    <xf numFmtId="0" fontId="15" fillId="2" borderId="0" xfId="0" applyFont="1" applyFill="1"/>
    <xf numFmtId="0" fontId="15" fillId="0" borderId="0" xfId="0" applyFont="1" applyFill="1" applyBorder="1"/>
    <xf numFmtId="0" fontId="17" fillId="0" borderId="0" xfId="0" applyFont="1"/>
    <xf numFmtId="0" fontId="19" fillId="0" borderId="0" xfId="0" applyFont="1"/>
    <xf numFmtId="0" fontId="14" fillId="0" borderId="0" xfId="0" applyFont="1"/>
    <xf numFmtId="0" fontId="14" fillId="0" borderId="0" xfId="0" applyFont="1" applyFill="1"/>
    <xf numFmtId="166" fontId="20" fillId="0" borderId="0" xfId="1" applyNumberFormat="1" applyFont="1" applyFill="1" applyBorder="1" applyAlignment="1">
      <alignment horizontal="right" wrapText="1"/>
    </xf>
    <xf numFmtId="2" fontId="15" fillId="0" borderId="0" xfId="0" applyNumberFormat="1" applyFont="1"/>
    <xf numFmtId="0" fontId="0" fillId="0" borderId="0" xfId="0" applyFill="1"/>
    <xf numFmtId="0" fontId="0" fillId="0" borderId="2" xfId="0" applyBorder="1"/>
    <xf numFmtId="9" fontId="0" fillId="0" borderId="2" xfId="0" applyNumberFormat="1" applyBorder="1"/>
    <xf numFmtId="0" fontId="0" fillId="0" borderId="0" xfId="0" applyNumberFormat="1"/>
    <xf numFmtId="0" fontId="0" fillId="0" borderId="0" xfId="0" applyAlignment="1">
      <alignment horizontal="right"/>
    </xf>
    <xf numFmtId="0" fontId="0" fillId="0" borderId="19" xfId="0" applyBorder="1"/>
    <xf numFmtId="0" fontId="0" fillId="0" borderId="22" xfId="0" applyBorder="1"/>
    <xf numFmtId="0" fontId="0" fillId="0" borderId="0" xfId="0"/>
    <xf numFmtId="0" fontId="0" fillId="0" borderId="32" xfId="0" applyBorder="1"/>
    <xf numFmtId="0" fontId="13" fillId="13" borderId="0" xfId="0" applyFont="1" applyFill="1"/>
    <xf numFmtId="0" fontId="31" fillId="0" borderId="0" xfId="0" applyFont="1" applyAlignment="1">
      <alignment vertical="center"/>
    </xf>
    <xf numFmtId="0" fontId="30" fillId="0" borderId="0" xfId="2" applyAlignment="1" applyProtection="1">
      <alignment vertical="center"/>
    </xf>
    <xf numFmtId="0" fontId="0" fillId="0" borderId="0" xfId="0" applyAlignment="1">
      <alignment wrapText="1"/>
    </xf>
    <xf numFmtId="0" fontId="12" fillId="13" borderId="4" xfId="0" applyFont="1" applyFill="1" applyBorder="1"/>
    <xf numFmtId="0" fontId="12" fillId="13" borderId="19" xfId="0" applyFont="1" applyFill="1" applyBorder="1"/>
    <xf numFmtId="0" fontId="13" fillId="14" borderId="29" xfId="0" applyFont="1" applyFill="1" applyBorder="1" applyAlignment="1">
      <alignment horizontal="center"/>
    </xf>
    <xf numFmtId="0" fontId="13" fillId="14" borderId="30" xfId="0" applyFont="1" applyFill="1" applyBorder="1" applyAlignment="1">
      <alignment horizontal="center"/>
    </xf>
    <xf numFmtId="0" fontId="13" fillId="14" borderId="33" xfId="0" applyFont="1" applyFill="1" applyBorder="1" applyAlignment="1">
      <alignment horizontal="center"/>
    </xf>
    <xf numFmtId="0" fontId="13" fillId="13" borderId="32" xfId="0" applyFont="1" applyFill="1" applyBorder="1"/>
    <xf numFmtId="0" fontId="13" fillId="13" borderId="18" xfId="0" applyFont="1" applyFill="1" applyBorder="1"/>
    <xf numFmtId="0" fontId="33" fillId="13" borderId="0" xfId="0" applyFont="1" applyFill="1"/>
    <xf numFmtId="0" fontId="33" fillId="0" borderId="0" xfId="0" applyFont="1"/>
    <xf numFmtId="0" fontId="33" fillId="0" borderId="0" xfId="0" applyFont="1" applyFill="1" applyBorder="1"/>
    <xf numFmtId="0" fontId="33" fillId="13" borderId="0" xfId="0" applyFont="1" applyFill="1" applyBorder="1"/>
    <xf numFmtId="0" fontId="36" fillId="13" borderId="0" xfId="0" applyFont="1" applyFill="1"/>
    <xf numFmtId="0" fontId="33" fillId="0" borderId="0" xfId="0" applyFont="1" applyBorder="1"/>
    <xf numFmtId="0" fontId="33" fillId="15" borderId="0" xfId="0" applyFont="1" applyFill="1" applyBorder="1"/>
    <xf numFmtId="167" fontId="33" fillId="0" borderId="0" xfId="0" applyNumberFormat="1" applyFont="1" applyFill="1"/>
    <xf numFmtId="0" fontId="26" fillId="15" borderId="36" xfId="0" applyFont="1" applyFill="1" applyBorder="1"/>
    <xf numFmtId="0" fontId="27" fillId="15" borderId="0" xfId="0" applyFont="1" applyFill="1" applyBorder="1"/>
    <xf numFmtId="0" fontId="27" fillId="15" borderId="47" xfId="0" applyFont="1" applyFill="1" applyBorder="1"/>
    <xf numFmtId="0" fontId="27" fillId="15" borderId="37" xfId="0" applyFont="1" applyFill="1" applyBorder="1"/>
    <xf numFmtId="9" fontId="0" fillId="0" borderId="4" xfId="0" applyNumberFormat="1" applyBorder="1"/>
    <xf numFmtId="178" fontId="0" fillId="0" borderId="0" xfId="0" applyNumberFormat="1" applyFont="1"/>
    <xf numFmtId="0" fontId="33" fillId="15" borderId="54" xfId="0" applyFont="1" applyFill="1" applyBorder="1"/>
    <xf numFmtId="0" fontId="11" fillId="13" borderId="0" xfId="0" applyFont="1" applyFill="1"/>
    <xf numFmtId="164" fontId="15" fillId="0" borderId="0" xfId="0" applyNumberFormat="1" applyFont="1"/>
    <xf numFmtId="0" fontId="11" fillId="0" borderId="0" xfId="0" applyFont="1" applyAlignment="1">
      <alignment horizontal="right"/>
    </xf>
    <xf numFmtId="2" fontId="15" fillId="0" borderId="0" xfId="0" applyNumberFormat="1" applyFont="1" applyBorder="1"/>
    <xf numFmtId="0" fontId="11" fillId="0" borderId="0" xfId="0" applyFont="1"/>
    <xf numFmtId="0" fontId="14" fillId="0" borderId="0" xfId="0" applyFont="1" applyBorder="1"/>
    <xf numFmtId="0" fontId="11" fillId="0" borderId="0" xfId="0" applyFont="1" applyFill="1" applyBorder="1" applyAlignment="1"/>
    <xf numFmtId="173" fontId="17" fillId="0" borderId="50" xfId="4" applyNumberFormat="1" applyFont="1" applyFill="1" applyBorder="1" applyAlignment="1">
      <alignment horizontal="center" vertical="center" wrapText="1" shrinkToFit="1"/>
    </xf>
    <xf numFmtId="42" fontId="33" fillId="0" borderId="0" xfId="0" applyNumberFormat="1" applyFont="1" applyFill="1" applyBorder="1" applyAlignment="1">
      <alignment horizontal="center" vertical="center" wrapText="1" shrinkToFit="1"/>
    </xf>
    <xf numFmtId="0" fontId="35" fillId="0" borderId="0" xfId="0" applyFont="1" applyFill="1" applyAlignment="1">
      <alignment vertical="center" textRotation="90"/>
    </xf>
    <xf numFmtId="0" fontId="0" fillId="0" borderId="0" xfId="0" applyFill="1" applyBorder="1" applyAlignment="1"/>
    <xf numFmtId="0" fontId="14" fillId="0" borderId="32" xfId="0" applyFont="1" applyFill="1" applyBorder="1"/>
    <xf numFmtId="0" fontId="15" fillId="0" borderId="32" xfId="0" applyFont="1" applyFill="1" applyBorder="1"/>
    <xf numFmtId="0" fontId="11" fillId="0" borderId="28" xfId="0" applyFont="1" applyFill="1" applyBorder="1"/>
    <xf numFmtId="0" fontId="11" fillId="0" borderId="4" xfId="0" applyFont="1" applyBorder="1"/>
    <xf numFmtId="0" fontId="11" fillId="0" borderId="27" xfId="0" applyFont="1" applyFill="1" applyBorder="1"/>
    <xf numFmtId="0" fontId="15" fillId="0" borderId="32" xfId="0" applyFont="1" applyBorder="1"/>
    <xf numFmtId="0" fontId="20" fillId="0" borderId="32" xfId="0" applyFont="1" applyBorder="1"/>
    <xf numFmtId="0" fontId="14" fillId="0" borderId="18" xfId="0" applyFont="1" applyBorder="1"/>
    <xf numFmtId="0" fontId="11" fillId="0" borderId="27" xfId="0" applyFont="1" applyBorder="1"/>
    <xf numFmtId="0" fontId="11" fillId="0" borderId="32" xfId="0" applyFont="1" applyBorder="1"/>
    <xf numFmtId="0" fontId="14" fillId="0" borderId="32" xfId="0" applyFont="1" applyBorder="1"/>
    <xf numFmtId="0" fontId="0" fillId="0" borderId="34" xfId="0" applyFill="1" applyBorder="1" applyAlignment="1"/>
    <xf numFmtId="0" fontId="22" fillId="0" borderId="32" xfId="0" applyFont="1" applyFill="1" applyBorder="1" applyAlignment="1">
      <alignment horizontal="right"/>
    </xf>
    <xf numFmtId="0" fontId="14" fillId="0" borderId="32" xfId="0" applyFont="1" applyFill="1" applyBorder="1" applyAlignment="1">
      <alignment horizontal="right"/>
    </xf>
    <xf numFmtId="165" fontId="23" fillId="0" borderId="32" xfId="0" applyNumberFormat="1" applyFont="1" applyFill="1" applyBorder="1" applyAlignment="1">
      <alignment horizontal="right"/>
    </xf>
    <xf numFmtId="0" fontId="14"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0" fillId="13" borderId="0" xfId="0" applyFill="1"/>
    <xf numFmtId="0" fontId="0" fillId="13" borderId="0" xfId="0" applyFill="1" applyBorder="1"/>
    <xf numFmtId="0" fontId="0" fillId="0" borderId="59" xfId="0" applyBorder="1"/>
    <xf numFmtId="0" fontId="0" fillId="16" borderId="34" xfId="0" applyFill="1" applyBorder="1"/>
    <xf numFmtId="0" fontId="11" fillId="16" borderId="20" xfId="0" applyFont="1" applyFill="1" applyBorder="1" applyAlignment="1">
      <alignment horizontal="center" vertical="center"/>
    </xf>
    <xf numFmtId="0" fontId="0" fillId="16" borderId="16" xfId="0" applyFill="1" applyBorder="1"/>
    <xf numFmtId="0" fontId="0" fillId="19" borderId="23" xfId="0" applyFill="1" applyBorder="1"/>
    <xf numFmtId="0" fontId="0" fillId="19" borderId="0" xfId="0" applyFill="1" applyBorder="1"/>
    <xf numFmtId="0" fontId="0" fillId="19" borderId="35" xfId="0" applyFill="1" applyBorder="1"/>
    <xf numFmtId="0" fontId="0" fillId="16" borderId="20" xfId="0" applyFill="1" applyBorder="1"/>
    <xf numFmtId="0" fontId="0" fillId="16" borderId="16" xfId="0" applyNumberFormat="1" applyFill="1" applyBorder="1"/>
    <xf numFmtId="0" fontId="0" fillId="16" borderId="20" xfId="0" applyNumberFormat="1" applyFill="1" applyBorder="1"/>
    <xf numFmtId="0" fontId="0" fillId="20" borderId="17" xfId="0" applyNumberFormat="1" applyFill="1" applyBorder="1"/>
    <xf numFmtId="0" fontId="0" fillId="20" borderId="1" xfId="0" applyNumberFormat="1" applyFill="1" applyBorder="1"/>
    <xf numFmtId="0" fontId="0" fillId="20" borderId="21" xfId="0" applyNumberFormat="1" applyFill="1" applyBorder="1"/>
    <xf numFmtId="0" fontId="11" fillId="4" borderId="20" xfId="0" applyFont="1" applyFill="1" applyBorder="1" applyAlignment="1">
      <alignment horizontal="center" vertical="center"/>
    </xf>
    <xf numFmtId="0" fontId="0" fillId="4" borderId="34" xfId="0" applyNumberFormat="1" applyFill="1" applyBorder="1"/>
    <xf numFmtId="0" fontId="0" fillId="4" borderId="17" xfId="0" applyFill="1" applyBorder="1"/>
    <xf numFmtId="0" fontId="0" fillId="4" borderId="16" xfId="0" applyNumberFormat="1" applyFill="1" applyBorder="1"/>
    <xf numFmtId="11" fontId="0" fillId="4" borderId="0" xfId="0" applyNumberFormat="1" applyFill="1" applyBorder="1"/>
    <xf numFmtId="0" fontId="0" fillId="4" borderId="1" xfId="0" applyFill="1" applyBorder="1"/>
    <xf numFmtId="0" fontId="0" fillId="20" borderId="21" xfId="0" applyFill="1" applyBorder="1"/>
    <xf numFmtId="0" fontId="0" fillId="20" borderId="0" xfId="0" applyNumberFormat="1" applyFill="1" applyBorder="1"/>
    <xf numFmtId="0" fontId="0" fillId="16" borderId="0" xfId="0" applyFill="1"/>
    <xf numFmtId="0" fontId="0" fillId="4" borderId="0" xfId="0" applyFill="1"/>
    <xf numFmtId="0" fontId="0" fillId="20" borderId="0" xfId="0" applyFill="1"/>
    <xf numFmtId="0" fontId="0" fillId="4" borderId="21" xfId="0" applyNumberFormat="1" applyFill="1" applyBorder="1"/>
    <xf numFmtId="0" fontId="0" fillId="4" borderId="1" xfId="0" applyNumberFormat="1" applyFill="1" applyBorder="1"/>
    <xf numFmtId="0" fontId="0" fillId="4" borderId="17" xfId="0" applyNumberFormat="1" applyFill="1" applyBorder="1"/>
    <xf numFmtId="0" fontId="0" fillId="4" borderId="34" xfId="0" applyFill="1" applyBorder="1"/>
    <xf numFmtId="0" fontId="0" fillId="4" borderId="0" xfId="0" applyNumberFormat="1" applyFill="1" applyBorder="1"/>
    <xf numFmtId="0" fontId="17" fillId="13" borderId="0" xfId="0" applyFont="1" applyFill="1" applyAlignment="1">
      <alignment horizontal="center"/>
    </xf>
    <xf numFmtId="9" fontId="0" fillId="0" borderId="0" xfId="0" applyNumberFormat="1"/>
    <xf numFmtId="164" fontId="20" fillId="0" borderId="0" xfId="0" applyNumberFormat="1" applyFont="1" applyFill="1" applyBorder="1" applyAlignment="1">
      <alignment horizontal="right" wrapText="1"/>
    </xf>
    <xf numFmtId="0" fontId="0" fillId="0" borderId="0" xfId="0" applyBorder="1"/>
    <xf numFmtId="0" fontId="0" fillId="15" borderId="0" xfId="0" applyFill="1" applyBorder="1"/>
    <xf numFmtId="0" fontId="43" fillId="13" borderId="0" xfId="0" applyFont="1" applyFill="1"/>
    <xf numFmtId="0" fontId="13" fillId="15" borderId="0" xfId="0" applyFont="1" applyFill="1" applyBorder="1" applyAlignment="1">
      <alignment horizontal="center"/>
    </xf>
    <xf numFmtId="0" fontId="39" fillId="13" borderId="0" xfId="0" applyFont="1" applyFill="1"/>
    <xf numFmtId="0" fontId="33" fillId="0" borderId="0" xfId="0" applyFont="1" applyFill="1"/>
    <xf numFmtId="0" fontId="37" fillId="15" borderId="0" xfId="0" applyFont="1" applyFill="1" applyBorder="1"/>
    <xf numFmtId="0" fontId="45" fillId="15" borderId="0" xfId="0" applyFont="1" applyFill="1" applyBorder="1"/>
    <xf numFmtId="0" fontId="25" fillId="15" borderId="36" xfId="0" applyFont="1" applyFill="1" applyBorder="1"/>
    <xf numFmtId="0" fontId="33" fillId="13" borderId="0" xfId="0" applyFont="1" applyFill="1" applyAlignment="1">
      <alignment vertical="center"/>
    </xf>
    <xf numFmtId="1" fontId="25" fillId="15" borderId="0" xfId="0" applyNumberFormat="1" applyFont="1" applyFill="1" applyBorder="1" applyAlignment="1">
      <alignment vertical="center" wrapText="1" shrinkToFit="1"/>
    </xf>
    <xf numFmtId="0" fontId="29" fillId="11" borderId="63" xfId="0" applyFont="1" applyFill="1" applyBorder="1" applyAlignment="1">
      <alignment horizontal="center" vertical="center" wrapText="1"/>
    </xf>
    <xf numFmtId="0" fontId="29" fillId="11" borderId="64" xfId="0" applyFont="1" applyFill="1" applyBorder="1" applyAlignment="1">
      <alignment horizontal="center" vertical="center"/>
    </xf>
    <xf numFmtId="0" fontId="29" fillId="11" borderId="62" xfId="0" applyFont="1" applyFill="1" applyBorder="1" applyAlignment="1">
      <alignment horizontal="center" vertical="center" wrapText="1"/>
    </xf>
    <xf numFmtId="0" fontId="46" fillId="8" borderId="65" xfId="0" applyFont="1" applyFill="1" applyBorder="1" applyAlignment="1">
      <alignment horizontal="center" vertical="center" wrapText="1"/>
    </xf>
    <xf numFmtId="0" fontId="46" fillId="24" borderId="73" xfId="0" applyFont="1" applyFill="1" applyBorder="1" applyAlignment="1">
      <alignment horizontal="center" vertical="center" wrapText="1"/>
    </xf>
    <xf numFmtId="0" fontId="46" fillId="12" borderId="76" xfId="0" applyFont="1" applyFill="1" applyBorder="1" applyAlignment="1">
      <alignment horizontal="center" vertical="center" wrapText="1"/>
    </xf>
    <xf numFmtId="0" fontId="46" fillId="12" borderId="77" xfId="0" applyFont="1" applyFill="1" applyBorder="1" applyAlignment="1">
      <alignment horizontal="center" vertical="center" wrapText="1"/>
    </xf>
    <xf numFmtId="0" fontId="46" fillId="12" borderId="78" xfId="0" applyFont="1" applyFill="1" applyBorder="1" applyAlignment="1">
      <alignment horizontal="center" vertical="center" wrapText="1"/>
    </xf>
    <xf numFmtId="0" fontId="46" fillId="8" borderId="62" xfId="0" applyFont="1" applyFill="1" applyBorder="1" applyAlignment="1">
      <alignment horizontal="center" vertical="center" wrapText="1"/>
    </xf>
    <xf numFmtId="0" fontId="17" fillId="8" borderId="51" xfId="0" applyFont="1" applyFill="1" applyBorder="1" applyAlignment="1">
      <alignment horizontal="center" vertical="center" wrapText="1"/>
    </xf>
    <xf numFmtId="0" fontId="17" fillId="8" borderId="65" xfId="0" applyFont="1" applyFill="1" applyBorder="1" applyAlignment="1">
      <alignment horizontal="center" vertical="center" wrapText="1"/>
    </xf>
    <xf numFmtId="0" fontId="17" fillId="8" borderId="52" xfId="0" applyFont="1" applyFill="1" applyBorder="1" applyAlignment="1">
      <alignment horizontal="center" vertical="center" wrapText="1"/>
    </xf>
    <xf numFmtId="0" fontId="46" fillId="8" borderId="84" xfId="0" applyFont="1" applyFill="1" applyBorder="1" applyAlignment="1">
      <alignment horizontal="center" vertical="center" wrapText="1"/>
    </xf>
    <xf numFmtId="0" fontId="46" fillId="12" borderId="93" xfId="0" applyFont="1" applyFill="1" applyBorder="1" applyAlignment="1">
      <alignment horizontal="center" vertical="center" wrapText="1"/>
    </xf>
    <xf numFmtId="0" fontId="46" fillId="12" borderId="96" xfId="0" applyFont="1" applyFill="1" applyBorder="1" applyAlignment="1">
      <alignment horizontal="center" vertical="center" wrapText="1"/>
    </xf>
    <xf numFmtId="0" fontId="19" fillId="0" borderId="0" xfId="0" applyFont="1" applyAlignment="1">
      <alignment horizontal="center"/>
    </xf>
    <xf numFmtId="0" fontId="48" fillId="0" borderId="0" xfId="0" applyFont="1" applyFill="1" applyAlignment="1">
      <alignment horizontal="center" vertical="center" textRotation="90"/>
    </xf>
    <xf numFmtId="0" fontId="19" fillId="0" borderId="0" xfId="0" applyFont="1" applyFill="1" applyBorder="1" applyAlignment="1">
      <alignment horizontal="center"/>
    </xf>
    <xf numFmtId="0" fontId="33" fillId="0" borderId="56" xfId="0" applyFont="1" applyBorder="1"/>
    <xf numFmtId="0" fontId="19" fillId="0" borderId="56" xfId="0" applyFont="1" applyBorder="1"/>
    <xf numFmtId="0" fontId="33" fillId="0" borderId="44" xfId="0" applyFont="1" applyBorder="1"/>
    <xf numFmtId="0" fontId="33" fillId="0" borderId="58" xfId="0" applyFont="1" applyBorder="1"/>
    <xf numFmtId="0" fontId="10" fillId="13" borderId="0" xfId="0" applyFont="1" applyFill="1"/>
    <xf numFmtId="0" fontId="10" fillId="0" borderId="0" xfId="0" applyFont="1" applyFill="1" applyBorder="1"/>
    <xf numFmtId="0" fontId="46" fillId="24" borderId="99" xfId="0" applyFont="1" applyFill="1" applyBorder="1" applyAlignment="1">
      <alignment horizontal="center" vertical="center" wrapText="1"/>
    </xf>
    <xf numFmtId="0" fontId="29" fillId="26" borderId="94" xfId="0" applyFont="1" applyFill="1" applyBorder="1" applyAlignment="1">
      <alignment horizontal="center" vertical="center"/>
    </xf>
    <xf numFmtId="0" fontId="28" fillId="26" borderId="80" xfId="0" applyFont="1" applyFill="1" applyBorder="1" applyAlignment="1">
      <alignment horizontal="center" vertical="center"/>
    </xf>
    <xf numFmtId="0" fontId="10" fillId="13" borderId="2" xfId="0" applyFont="1" applyFill="1" applyBorder="1"/>
    <xf numFmtId="0" fontId="10" fillId="0" borderId="0" xfId="0" applyFont="1" applyFill="1"/>
    <xf numFmtId="0" fontId="10" fillId="15" borderId="36" xfId="0" applyFont="1" applyFill="1" applyBorder="1"/>
    <xf numFmtId="0" fontId="10" fillId="15" borderId="37" xfId="0" applyFont="1" applyFill="1" applyBorder="1"/>
    <xf numFmtId="0" fontId="10" fillId="15" borderId="38" xfId="0" applyFont="1" applyFill="1" applyBorder="1"/>
    <xf numFmtId="0" fontId="33" fillId="0" borderId="0" xfId="0" applyFont="1" applyAlignment="1">
      <alignment vertical="center"/>
    </xf>
    <xf numFmtId="0" fontId="10" fillId="13" borderId="0" xfId="0" applyFont="1" applyFill="1" applyAlignment="1">
      <alignment vertical="center"/>
    </xf>
    <xf numFmtId="0" fontId="10" fillId="15" borderId="36" xfId="0" applyFont="1" applyFill="1" applyBorder="1" applyAlignment="1">
      <alignment vertical="center"/>
    </xf>
    <xf numFmtId="42" fontId="10" fillId="0" borderId="49" xfId="4" applyNumberFormat="1" applyFont="1" applyFill="1" applyBorder="1" applyAlignment="1">
      <alignment horizontal="center" vertical="center" wrapText="1" shrinkToFit="1"/>
    </xf>
    <xf numFmtId="0" fontId="50" fillId="0" borderId="0" xfId="0" applyFont="1"/>
    <xf numFmtId="2" fontId="33" fillId="0" borderId="0" xfId="0" applyNumberFormat="1" applyFont="1"/>
    <xf numFmtId="0" fontId="19" fillId="0" borderId="57" xfId="0" applyFont="1" applyBorder="1" applyAlignment="1">
      <alignment horizontal="center"/>
    </xf>
    <xf numFmtId="3" fontId="33" fillId="0" borderId="57" xfId="0" applyNumberFormat="1" applyFont="1" applyBorder="1"/>
    <xf numFmtId="3" fontId="33" fillId="0" borderId="0" xfId="0" applyNumberFormat="1" applyFont="1"/>
    <xf numFmtId="3" fontId="33" fillId="0" borderId="46" xfId="0" applyNumberFormat="1" applyFont="1" applyBorder="1"/>
    <xf numFmtId="3" fontId="33" fillId="0" borderId="56" xfId="0" applyNumberFormat="1" applyFont="1" applyBorder="1"/>
    <xf numFmtId="0" fontId="19" fillId="0" borderId="0" xfId="0" applyFont="1" applyBorder="1" applyAlignment="1">
      <alignment horizontal="center"/>
    </xf>
    <xf numFmtId="0" fontId="19" fillId="0" borderId="58" xfId="0" applyFont="1" applyBorder="1" applyAlignment="1">
      <alignment horizontal="center"/>
    </xf>
    <xf numFmtId="0" fontId="35" fillId="15" borderId="0" xfId="0" applyFont="1" applyFill="1" applyBorder="1" applyAlignment="1">
      <alignment horizontal="center" vertical="center" wrapText="1" shrinkToFit="1"/>
    </xf>
    <xf numFmtId="3" fontId="10" fillId="15" borderId="0" xfId="0" applyNumberFormat="1" applyFont="1" applyFill="1" applyBorder="1" applyAlignment="1">
      <alignment horizontal="center" vertical="center" wrapText="1"/>
    </xf>
    <xf numFmtId="174" fontId="17" fillId="15" borderId="0" xfId="0" applyNumberFormat="1" applyFont="1" applyFill="1" applyBorder="1" applyAlignment="1">
      <alignment horizontal="center" vertical="center" wrapText="1"/>
    </xf>
    <xf numFmtId="3" fontId="17" fillId="15" borderId="0" xfId="0" applyNumberFormat="1" applyFont="1" applyFill="1" applyBorder="1" applyAlignment="1">
      <alignment horizontal="center" vertical="center" wrapText="1"/>
    </xf>
    <xf numFmtId="3" fontId="25" fillId="15" borderId="0" xfId="0" applyNumberFormat="1" applyFont="1" applyFill="1" applyBorder="1" applyAlignment="1">
      <alignment horizontal="center" vertical="center" wrapText="1" shrinkToFit="1"/>
    </xf>
    <xf numFmtId="42" fontId="25" fillId="15" borderId="0" xfId="4" applyNumberFormat="1" applyFont="1" applyFill="1" applyBorder="1" applyAlignment="1">
      <alignment horizontal="center" vertical="center" wrapText="1" shrinkToFit="1"/>
    </xf>
    <xf numFmtId="174" fontId="25" fillId="15" borderId="0" xfId="0" applyNumberFormat="1" applyFont="1" applyFill="1" applyBorder="1" applyAlignment="1">
      <alignment horizontal="center" vertical="center" wrapText="1" shrinkToFit="1"/>
    </xf>
    <xf numFmtId="173" fontId="10" fillId="15" borderId="0" xfId="0" applyNumberFormat="1" applyFont="1" applyFill="1" applyBorder="1" applyAlignment="1">
      <alignment horizontal="center" vertical="center" wrapText="1"/>
    </xf>
    <xf numFmtId="3" fontId="10" fillId="15" borderId="0" xfId="1" applyNumberFormat="1" applyFont="1" applyFill="1" applyBorder="1" applyAlignment="1">
      <alignment horizontal="center" vertical="center" wrapText="1"/>
    </xf>
    <xf numFmtId="173" fontId="25" fillId="15" borderId="0" xfId="0" applyNumberFormat="1" applyFont="1" applyFill="1" applyBorder="1" applyAlignment="1">
      <alignment horizontal="center" vertical="center" wrapText="1" shrinkToFit="1"/>
    </xf>
    <xf numFmtId="6" fontId="25" fillId="15" borderId="0" xfId="0" applyNumberFormat="1" applyFont="1" applyFill="1" applyBorder="1" applyAlignment="1">
      <alignment horizontal="center" vertical="center" wrapText="1" shrinkToFit="1"/>
    </xf>
    <xf numFmtId="0" fontId="17" fillId="15" borderId="0" xfId="0" applyFont="1" applyFill="1" applyBorder="1" applyAlignment="1">
      <alignment horizontal="center" vertical="center" wrapText="1"/>
    </xf>
    <xf numFmtId="3" fontId="10" fillId="0" borderId="0" xfId="0" applyNumberFormat="1" applyFont="1" applyFill="1"/>
    <xf numFmtId="0" fontId="10" fillId="0" borderId="4" xfId="0" applyFont="1" applyFill="1" applyBorder="1"/>
    <xf numFmtId="0" fontId="10" fillId="0" borderId="27" xfId="0" applyFont="1" applyFill="1" applyBorder="1" applyAlignment="1">
      <alignment horizontal="center" wrapText="1"/>
    </xf>
    <xf numFmtId="0" fontId="10" fillId="0" borderId="20" xfId="0" applyFont="1" applyFill="1" applyBorder="1" applyAlignment="1">
      <alignment horizontal="center" wrapText="1"/>
    </xf>
    <xf numFmtId="0" fontId="10" fillId="0" borderId="27" xfId="0" applyFont="1" applyFill="1" applyBorder="1"/>
    <xf numFmtId="0" fontId="10" fillId="0" borderId="21" xfId="0" applyFont="1" applyFill="1" applyBorder="1"/>
    <xf numFmtId="0" fontId="10" fillId="0" borderId="19" xfId="0" applyFont="1" applyFill="1" applyBorder="1"/>
    <xf numFmtId="168" fontId="10" fillId="0" borderId="18" xfId="0" applyNumberFormat="1" applyFont="1" applyFill="1" applyBorder="1"/>
    <xf numFmtId="168" fontId="10" fillId="0" borderId="35" xfId="0" applyNumberFormat="1" applyFont="1" applyFill="1" applyBorder="1"/>
    <xf numFmtId="173" fontId="10" fillId="0" borderId="18" xfId="0" applyNumberFormat="1" applyFont="1" applyFill="1" applyBorder="1"/>
    <xf numFmtId="173" fontId="10" fillId="0" borderId="35" xfId="0" applyNumberFormat="1" applyFont="1" applyFill="1" applyBorder="1"/>
    <xf numFmtId="175" fontId="10" fillId="0" borderId="18" xfId="0" applyNumberFormat="1" applyFont="1" applyFill="1" applyBorder="1"/>
    <xf numFmtId="175" fontId="10" fillId="0" borderId="35" xfId="0" applyNumberFormat="1" applyFont="1" applyFill="1" applyBorder="1"/>
    <xf numFmtId="0" fontId="33" fillId="0" borderId="0" xfId="0" applyFont="1" applyFill="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35" fillId="0" borderId="0" xfId="0" applyFont="1" applyFill="1"/>
    <xf numFmtId="0" fontId="46" fillId="0" borderId="61" xfId="0" applyFont="1" applyFill="1" applyBorder="1" applyAlignment="1">
      <alignment vertical="center" wrapText="1"/>
    </xf>
    <xf numFmtId="0" fontId="25" fillId="0" borderId="0" xfId="0" applyFont="1" applyFill="1"/>
    <xf numFmtId="0" fontId="25" fillId="0" borderId="0" xfId="0" applyFont="1" applyFill="1" applyBorder="1"/>
    <xf numFmtId="0" fontId="29" fillId="0" borderId="49" xfId="0" applyFont="1" applyFill="1" applyBorder="1" applyAlignment="1">
      <alignment horizontal="center" vertical="center"/>
    </xf>
    <xf numFmtId="0" fontId="10" fillId="0" borderId="0" xfId="0" applyFont="1" applyFill="1" applyAlignment="1">
      <alignment horizontal="center" wrapText="1"/>
    </xf>
    <xf numFmtId="0" fontId="10" fillId="0" borderId="41" xfId="0" applyFont="1" applyFill="1" applyBorder="1"/>
    <xf numFmtId="0" fontId="49" fillId="0" borderId="0" xfId="2" applyFont="1" applyFill="1" applyAlignment="1" applyProtection="1"/>
    <xf numFmtId="9" fontId="10" fillId="0" borderId="0" xfId="0" applyNumberFormat="1" applyFont="1" applyFill="1"/>
    <xf numFmtId="9" fontId="33" fillId="0" borderId="0" xfId="0" applyNumberFormat="1" applyFont="1" applyFill="1"/>
    <xf numFmtId="0" fontId="33" fillId="0" borderId="28" xfId="0" applyFont="1" applyFill="1" applyBorder="1"/>
    <xf numFmtId="0" fontId="33" fillId="0" borderId="21" xfId="0" applyFont="1" applyFill="1" applyBorder="1"/>
    <xf numFmtId="0" fontId="33" fillId="0" borderId="27" xfId="0" applyFont="1" applyFill="1" applyBorder="1"/>
    <xf numFmtId="0" fontId="33" fillId="0" borderId="19" xfId="0" applyFont="1" applyFill="1" applyBorder="1"/>
    <xf numFmtId="44" fontId="33" fillId="0" borderId="22" xfId="0" applyNumberFormat="1" applyFont="1" applyFill="1" applyBorder="1"/>
    <xf numFmtId="0" fontId="33" fillId="0" borderId="32" xfId="0" applyFont="1" applyFill="1" applyBorder="1"/>
    <xf numFmtId="3" fontId="33" fillId="0" borderId="0" xfId="0" applyNumberFormat="1" applyFont="1" applyFill="1" applyBorder="1"/>
    <xf numFmtId="173" fontId="33" fillId="0" borderId="1" xfId="0" applyNumberFormat="1" applyFont="1" applyFill="1" applyBorder="1"/>
    <xf numFmtId="172" fontId="33" fillId="0" borderId="0" xfId="0" applyNumberFormat="1" applyFont="1" applyFill="1" applyBorder="1"/>
    <xf numFmtId="44" fontId="33" fillId="0" borderId="0" xfId="0" applyNumberFormat="1" applyFont="1" applyFill="1" applyBorder="1"/>
    <xf numFmtId="44" fontId="33" fillId="0" borderId="18" xfId="0" applyNumberFormat="1" applyFont="1" applyFill="1" applyBorder="1" applyAlignment="1">
      <alignment wrapText="1"/>
    </xf>
    <xf numFmtId="44" fontId="33" fillId="0" borderId="35" xfId="0" applyNumberFormat="1" applyFont="1" applyFill="1" applyBorder="1" applyAlignment="1">
      <alignment wrapText="1"/>
    </xf>
    <xf numFmtId="44" fontId="33" fillId="0" borderId="0" xfId="0" applyNumberFormat="1" applyFont="1" applyFill="1"/>
    <xf numFmtId="44" fontId="33" fillId="0" borderId="0" xfId="0" applyNumberFormat="1" applyFont="1" applyFill="1" applyAlignment="1">
      <alignment wrapText="1" shrinkToFit="1"/>
    </xf>
    <xf numFmtId="44" fontId="33" fillId="0" borderId="0" xfId="0" applyNumberFormat="1" applyFont="1" applyFill="1" applyAlignment="1">
      <alignment vertical="center" wrapText="1" shrinkToFit="1"/>
    </xf>
    <xf numFmtId="0" fontId="33" fillId="0" borderId="22" xfId="0" applyFont="1" applyFill="1" applyBorder="1"/>
    <xf numFmtId="44" fontId="33" fillId="0" borderId="32" xfId="0" applyNumberFormat="1" applyFont="1" applyFill="1" applyBorder="1"/>
    <xf numFmtId="44" fontId="33" fillId="0" borderId="1" xfId="0" applyNumberFormat="1" applyFont="1" applyFill="1" applyBorder="1"/>
    <xf numFmtId="8" fontId="33" fillId="0" borderId="0" xfId="0" applyNumberFormat="1" applyFont="1" applyFill="1"/>
    <xf numFmtId="0" fontId="33" fillId="0" borderId="1" xfId="0" applyFont="1" applyFill="1" applyBorder="1"/>
    <xf numFmtId="171" fontId="33" fillId="0" borderId="0" xfId="0" applyNumberFormat="1" applyFont="1" applyFill="1"/>
    <xf numFmtId="9" fontId="33" fillId="0" borderId="0" xfId="0" applyNumberFormat="1" applyFont="1" applyFill="1" applyBorder="1" applyAlignment="1">
      <alignment vertical="center" wrapText="1" shrinkToFit="1"/>
    </xf>
    <xf numFmtId="6" fontId="33" fillId="0" borderId="0" xfId="0" applyNumberFormat="1" applyFont="1" applyFill="1"/>
    <xf numFmtId="0" fontId="33" fillId="0" borderId="18" xfId="0" applyFont="1" applyFill="1" applyBorder="1"/>
    <xf numFmtId="173" fontId="33" fillId="0" borderId="35" xfId="0" applyNumberFormat="1" applyFont="1" applyFill="1" applyBorder="1"/>
    <xf numFmtId="44" fontId="33" fillId="0" borderId="0" xfId="0" applyNumberFormat="1" applyFont="1" applyFill="1" applyAlignment="1">
      <alignment vertical="center" wrapText="1"/>
    </xf>
    <xf numFmtId="42" fontId="33" fillId="0" borderId="1" xfId="0" applyNumberFormat="1" applyFont="1" applyFill="1" applyBorder="1" applyAlignment="1">
      <alignment horizontal="center" vertical="center" wrapText="1" shrinkToFit="1"/>
    </xf>
    <xf numFmtId="9" fontId="33" fillId="0" borderId="0" xfId="0" applyNumberFormat="1" applyFont="1" applyFill="1" applyBorder="1"/>
    <xf numFmtId="0" fontId="33" fillId="0" borderId="0" xfId="0" applyFont="1" applyFill="1" applyAlignment="1">
      <alignment horizontal="center" vertical="center" textRotation="90"/>
    </xf>
    <xf numFmtId="0" fontId="19" fillId="0" borderId="0" xfId="0" applyFont="1" applyFill="1" applyAlignment="1">
      <alignment horizontal="center"/>
    </xf>
    <xf numFmtId="0" fontId="48" fillId="0" borderId="0" xfId="0" applyFont="1" applyFill="1" applyAlignment="1">
      <alignment horizontal="center"/>
    </xf>
    <xf numFmtId="9" fontId="10" fillId="0" borderId="0" xfId="0" applyNumberFormat="1" applyFont="1" applyFill="1" applyBorder="1"/>
    <xf numFmtId="0" fontId="10" fillId="0" borderId="26" xfId="0" applyFont="1" applyFill="1" applyBorder="1" applyAlignment="1">
      <alignment horizontal="center" wrapText="1"/>
    </xf>
    <xf numFmtId="9" fontId="10" fillId="0" borderId="3" xfId="0" applyNumberFormat="1" applyFont="1" applyFill="1" applyBorder="1" applyAlignment="1">
      <alignment horizontal="center" wrapText="1"/>
    </xf>
    <xf numFmtId="0" fontId="10" fillId="0" borderId="42" xfId="0" applyFont="1" applyFill="1" applyBorder="1" applyAlignment="1">
      <alignment horizontal="center" wrapText="1"/>
    </xf>
    <xf numFmtId="0" fontId="10" fillId="0" borderId="58" xfId="0" applyFont="1" applyFill="1" applyBorder="1"/>
    <xf numFmtId="0" fontId="10" fillId="0" borderId="40" xfId="0" applyFont="1" applyFill="1" applyBorder="1" applyAlignment="1">
      <alignment horizontal="center" wrapText="1"/>
    </xf>
    <xf numFmtId="3" fontId="10" fillId="0" borderId="0" xfId="0" applyNumberFormat="1" applyFont="1" applyFill="1" applyBorder="1"/>
    <xf numFmtId="3" fontId="10" fillId="0" borderId="3" xfId="0" applyNumberFormat="1" applyFont="1" applyFill="1" applyBorder="1"/>
    <xf numFmtId="3" fontId="10" fillId="0" borderId="3" xfId="0" applyNumberFormat="1" applyFont="1" applyFill="1" applyBorder="1" applyAlignment="1">
      <alignment horizontal="center" wrapText="1"/>
    </xf>
    <xf numFmtId="0" fontId="25" fillId="15" borderId="0" xfId="0" applyFont="1" applyFill="1" applyBorder="1" applyAlignment="1">
      <alignment vertical="top"/>
    </xf>
    <xf numFmtId="42" fontId="33" fillId="0" borderId="0" xfId="0" applyNumberFormat="1" applyFont="1" applyFill="1"/>
    <xf numFmtId="0" fontId="10" fillId="0" borderId="0" xfId="0" applyFont="1" applyFill="1" applyBorder="1" applyAlignment="1">
      <alignment horizontal="center"/>
    </xf>
    <xf numFmtId="0" fontId="33" fillId="0" borderId="58" xfId="0" applyFont="1" applyFill="1" applyBorder="1"/>
    <xf numFmtId="9" fontId="33" fillId="0" borderId="58" xfId="0" applyNumberFormat="1" applyFont="1" applyFill="1" applyBorder="1"/>
    <xf numFmtId="0" fontId="10" fillId="0" borderId="56" xfId="0" applyFont="1" applyFill="1" applyBorder="1" applyAlignment="1">
      <alignment horizontal="center"/>
    </xf>
    <xf numFmtId="9" fontId="33" fillId="0" borderId="44" xfId="0" applyNumberFormat="1" applyFont="1" applyFill="1" applyBorder="1"/>
    <xf numFmtId="3" fontId="33" fillId="0" borderId="46" xfId="0" applyNumberFormat="1" applyFont="1" applyFill="1" applyBorder="1"/>
    <xf numFmtId="3" fontId="33" fillId="0" borderId="56" xfId="0" applyNumberFormat="1" applyFont="1" applyFill="1" applyBorder="1"/>
    <xf numFmtId="3" fontId="33" fillId="0" borderId="57" xfId="0" applyNumberFormat="1" applyFont="1" applyFill="1" applyBorder="1"/>
    <xf numFmtId="4" fontId="33" fillId="0" borderId="56" xfId="0" applyNumberFormat="1" applyFont="1" applyFill="1" applyBorder="1"/>
    <xf numFmtId="4" fontId="33" fillId="0" borderId="0" xfId="0" applyNumberFormat="1" applyFont="1" applyFill="1" applyBorder="1"/>
    <xf numFmtId="0" fontId="33" fillId="0" borderId="0" xfId="0" applyFont="1" applyFill="1" applyBorder="1" applyAlignment="1">
      <alignment horizontal="center"/>
    </xf>
    <xf numFmtId="0" fontId="28" fillId="11" borderId="51" xfId="0" applyFont="1" applyFill="1" applyBorder="1" applyAlignment="1">
      <alignment horizontal="center" vertical="center" wrapText="1"/>
    </xf>
    <xf numFmtId="0" fontId="36" fillId="13" borderId="0" xfId="0" applyFont="1" applyFill="1" applyAlignment="1">
      <alignment vertical="center"/>
    </xf>
    <xf numFmtId="0" fontId="10" fillId="0" borderId="5" xfId="0" applyFont="1" applyFill="1" applyBorder="1" applyAlignment="1">
      <alignment horizontal="center" vertical="center"/>
    </xf>
    <xf numFmtId="44" fontId="10" fillId="0" borderId="6" xfId="0" applyNumberFormat="1" applyFont="1" applyFill="1" applyBorder="1" applyAlignment="1">
      <alignment vertical="center"/>
    </xf>
    <xf numFmtId="168" fontId="10" fillId="0" borderId="8" xfId="0" applyNumberFormat="1" applyFont="1" applyFill="1" applyBorder="1" applyAlignment="1">
      <alignment vertical="center"/>
    </xf>
    <xf numFmtId="168" fontId="10" fillId="0" borderId="9" xfId="0" applyNumberFormat="1" applyFont="1" applyFill="1" applyBorder="1" applyAlignment="1">
      <alignment vertical="center"/>
    </xf>
    <xf numFmtId="9" fontId="10" fillId="0" borderId="10" xfId="0" applyNumberFormat="1" applyFont="1" applyFill="1" applyBorder="1" applyAlignment="1">
      <alignment vertical="center"/>
    </xf>
    <xf numFmtId="173" fontId="10" fillId="0" borderId="8" xfId="0" applyNumberFormat="1" applyFont="1" applyFill="1" applyBorder="1" applyAlignment="1">
      <alignment vertical="center"/>
    </xf>
    <xf numFmtId="173" fontId="10" fillId="0" borderId="9" xfId="0" applyNumberFormat="1" applyFont="1" applyFill="1" applyBorder="1" applyAlignment="1">
      <alignment vertical="center"/>
    </xf>
    <xf numFmtId="0" fontId="10" fillId="0" borderId="8" xfId="0" applyNumberFormat="1" applyFont="1" applyFill="1" applyBorder="1" applyAlignment="1">
      <alignment vertical="center"/>
    </xf>
    <xf numFmtId="0" fontId="10" fillId="0" borderId="9" xfId="0" applyNumberFormat="1" applyFont="1" applyFill="1" applyBorder="1" applyAlignment="1">
      <alignment vertical="center"/>
    </xf>
    <xf numFmtId="0" fontId="10" fillId="0" borderId="29" xfId="0" applyFont="1" applyFill="1" applyBorder="1" applyAlignment="1">
      <alignment horizontal="center" vertical="center"/>
    </xf>
    <xf numFmtId="44" fontId="10" fillId="0" borderId="24" xfId="0" applyNumberFormat="1" applyFont="1" applyFill="1" applyBorder="1" applyAlignment="1">
      <alignment vertical="center"/>
    </xf>
    <xf numFmtId="168" fontId="10" fillId="0" borderId="11" xfId="0" applyNumberFormat="1" applyFont="1" applyFill="1" applyBorder="1" applyAlignment="1">
      <alignment vertical="center"/>
    </xf>
    <xf numFmtId="168" fontId="10" fillId="0" borderId="2" xfId="0" applyNumberFormat="1" applyFont="1" applyFill="1" applyBorder="1" applyAlignment="1">
      <alignment vertical="center"/>
    </xf>
    <xf numFmtId="9" fontId="10" fillId="0" borderId="12" xfId="0" applyNumberFormat="1" applyFont="1" applyFill="1" applyBorder="1" applyAlignment="1">
      <alignment vertical="center"/>
    </xf>
    <xf numFmtId="173" fontId="10" fillId="0" borderId="11" xfId="0" applyNumberFormat="1" applyFont="1" applyFill="1" applyBorder="1" applyAlignment="1">
      <alignment vertical="center"/>
    </xf>
    <xf numFmtId="173" fontId="10" fillId="0" borderId="2" xfId="0" applyNumberFormat="1" applyFont="1" applyFill="1" applyBorder="1" applyAlignment="1">
      <alignment vertical="center"/>
    </xf>
    <xf numFmtId="0" fontId="10" fillId="0" borderId="11" xfId="0" applyNumberFormat="1" applyFont="1" applyFill="1" applyBorder="1" applyAlignment="1">
      <alignment vertical="center"/>
    </xf>
    <xf numFmtId="0" fontId="10" fillId="0" borderId="2" xfId="0" applyNumberFormat="1" applyFont="1" applyFill="1" applyBorder="1" applyAlignment="1">
      <alignment vertical="center"/>
    </xf>
    <xf numFmtId="0" fontId="10" fillId="0" borderId="30" xfId="0" applyFont="1" applyFill="1" applyBorder="1" applyAlignment="1">
      <alignment horizontal="center" vertical="center"/>
    </xf>
    <xf numFmtId="44" fontId="10" fillId="0" borderId="7" xfId="0" applyNumberFormat="1" applyFont="1" applyFill="1" applyBorder="1" applyAlignment="1">
      <alignment vertical="center"/>
    </xf>
    <xf numFmtId="168" fontId="10" fillId="0" borderId="13" xfId="0" applyNumberFormat="1" applyFont="1" applyFill="1" applyBorder="1" applyAlignment="1">
      <alignment vertical="center"/>
    </xf>
    <xf numFmtId="168" fontId="10" fillId="0" borderId="14" xfId="0" applyNumberFormat="1" applyFont="1" applyFill="1" applyBorder="1" applyAlignment="1">
      <alignment vertical="center"/>
    </xf>
    <xf numFmtId="9" fontId="10" fillId="0" borderId="15" xfId="0" applyNumberFormat="1" applyFont="1" applyFill="1" applyBorder="1" applyAlignment="1">
      <alignment vertical="center"/>
    </xf>
    <xf numFmtId="173" fontId="10" fillId="0" borderId="13" xfId="0" applyNumberFormat="1" applyFont="1" applyFill="1" applyBorder="1" applyAlignment="1">
      <alignment vertical="center"/>
    </xf>
    <xf numFmtId="173" fontId="10" fillId="0" borderId="14" xfId="0" applyNumberFormat="1" applyFont="1" applyFill="1" applyBorder="1" applyAlignment="1">
      <alignment vertical="center"/>
    </xf>
    <xf numFmtId="0" fontId="10" fillId="0" borderId="13" xfId="0" applyNumberFormat="1" applyFont="1" applyFill="1" applyBorder="1" applyAlignment="1">
      <alignment vertical="center"/>
    </xf>
    <xf numFmtId="0" fontId="10" fillId="0" borderId="14" xfId="0" applyNumberFormat="1" applyFont="1" applyFill="1" applyBorder="1" applyAlignment="1">
      <alignment vertical="center"/>
    </xf>
    <xf numFmtId="0" fontId="29" fillId="22" borderId="100" xfId="0" applyFont="1" applyFill="1" applyBorder="1" applyAlignment="1">
      <alignment horizontal="center" vertical="center"/>
    </xf>
    <xf numFmtId="0" fontId="29" fillId="22" borderId="74" xfId="0" applyFont="1" applyFill="1" applyBorder="1" applyAlignment="1">
      <alignment horizontal="center" vertical="center"/>
    </xf>
    <xf numFmtId="0" fontId="29" fillId="22" borderId="101" xfId="0" applyFont="1" applyFill="1" applyBorder="1" applyAlignment="1">
      <alignment horizontal="center" vertical="center"/>
    </xf>
    <xf numFmtId="0" fontId="29" fillId="26" borderId="79" xfId="0" applyFont="1" applyFill="1" applyBorder="1" applyAlignment="1">
      <alignment horizontal="center" vertical="center"/>
    </xf>
    <xf numFmtId="3" fontId="48" fillId="24" borderId="111" xfId="0" applyNumberFormat="1" applyFont="1" applyFill="1" applyBorder="1" applyAlignment="1">
      <alignment horizontal="center" vertical="center" shrinkToFit="1"/>
    </xf>
    <xf numFmtId="174" fontId="48" fillId="24" borderId="112" xfId="0" applyNumberFormat="1" applyFont="1" applyFill="1" applyBorder="1" applyAlignment="1">
      <alignment horizontal="center" vertical="center" shrinkToFit="1"/>
    </xf>
    <xf numFmtId="180" fontId="19" fillId="12" borderId="107" xfId="0" applyNumberFormat="1" applyFont="1" applyFill="1" applyBorder="1" applyAlignment="1">
      <alignment horizontal="center" vertical="center" shrinkToFit="1"/>
    </xf>
    <xf numFmtId="6" fontId="19" fillId="12" borderId="108" xfId="0" applyNumberFormat="1" applyFont="1" applyFill="1" applyBorder="1" applyAlignment="1">
      <alignment horizontal="center" vertical="center" shrinkToFit="1"/>
    </xf>
    <xf numFmtId="9" fontId="19" fillId="12" borderId="109" xfId="0" applyNumberFormat="1" applyFont="1" applyFill="1" applyBorder="1" applyAlignment="1">
      <alignment horizontal="center" vertical="center" shrinkToFit="1"/>
    </xf>
    <xf numFmtId="9" fontId="19" fillId="12" borderId="110" xfId="0" applyNumberFormat="1" applyFont="1" applyFill="1" applyBorder="1" applyAlignment="1">
      <alignment horizontal="center" vertical="center" shrinkToFit="1"/>
    </xf>
    <xf numFmtId="0" fontId="27" fillId="15" borderId="48" xfId="0" applyFont="1" applyFill="1" applyBorder="1"/>
    <xf numFmtId="0" fontId="44" fillId="20" borderId="45" xfId="0" applyFont="1" applyFill="1" applyBorder="1"/>
    <xf numFmtId="0" fontId="42" fillId="20" borderId="25" xfId="0" applyFont="1" applyFill="1" applyBorder="1" applyAlignment="1">
      <alignment vertical="center"/>
    </xf>
    <xf numFmtId="0" fontId="44" fillId="20" borderId="25" xfId="0" applyFont="1" applyFill="1" applyBorder="1"/>
    <xf numFmtId="0" fontId="42" fillId="20" borderId="25" xfId="0" applyFont="1" applyFill="1" applyBorder="1" applyAlignment="1">
      <alignment horizontal="center" vertical="center"/>
    </xf>
    <xf numFmtId="0" fontId="44" fillId="20" borderId="31" xfId="0" applyFont="1" applyFill="1" applyBorder="1"/>
    <xf numFmtId="0" fontId="44" fillId="21" borderId="45" xfId="0" applyFont="1" applyFill="1" applyBorder="1"/>
    <xf numFmtId="0" fontId="42" fillId="21" borderId="25" xfId="0" applyFont="1" applyFill="1" applyBorder="1" applyAlignment="1">
      <alignment vertical="center"/>
    </xf>
    <xf numFmtId="0" fontId="44" fillId="21" borderId="25" xfId="0" applyFont="1" applyFill="1" applyBorder="1"/>
    <xf numFmtId="0" fontId="42" fillId="21" borderId="25" xfId="0" applyFont="1" applyFill="1" applyBorder="1" applyAlignment="1">
      <alignment horizontal="center" vertical="center"/>
    </xf>
    <xf numFmtId="0" fontId="44" fillId="21" borderId="31" xfId="0" applyFont="1" applyFill="1" applyBorder="1"/>
    <xf numFmtId="0" fontId="9" fillId="15" borderId="0" xfId="0" applyFont="1" applyFill="1" applyBorder="1"/>
    <xf numFmtId="0" fontId="9" fillId="15" borderId="114" xfId="0" applyFont="1" applyFill="1" applyBorder="1" applyAlignment="1">
      <alignment vertical="center"/>
    </xf>
    <xf numFmtId="173" fontId="17" fillId="11" borderId="114" xfId="0" applyNumberFormat="1" applyFont="1" applyFill="1" applyBorder="1" applyAlignment="1">
      <alignment horizontal="center" vertical="center"/>
    </xf>
    <xf numFmtId="0" fontId="9" fillId="13" borderId="0" xfId="0" applyFont="1" applyFill="1"/>
    <xf numFmtId="0" fontId="36" fillId="0" borderId="0" xfId="0" applyFont="1" applyFill="1" applyBorder="1"/>
    <xf numFmtId="0" fontId="17" fillId="11" borderId="51" xfId="0" applyFont="1" applyFill="1" applyBorder="1" applyAlignment="1">
      <alignment horizontal="left" vertical="center"/>
    </xf>
    <xf numFmtId="0" fontId="17" fillId="11" borderId="55" xfId="0" applyFont="1" applyFill="1" applyBorder="1" applyAlignment="1">
      <alignment horizontal="left" vertical="center"/>
    </xf>
    <xf numFmtId="0" fontId="25" fillId="15" borderId="53" xfId="0" applyFont="1" applyFill="1" applyBorder="1" applyAlignment="1">
      <alignment vertical="center"/>
    </xf>
    <xf numFmtId="0" fontId="33" fillId="0" borderId="0" xfId="0" applyFont="1" applyFill="1" applyAlignment="1">
      <alignment horizontal="center" vertical="center" textRotation="90"/>
    </xf>
    <xf numFmtId="9" fontId="33" fillId="0" borderId="56" xfId="0" applyNumberFormat="1" applyFont="1" applyFill="1" applyBorder="1"/>
    <xf numFmtId="1" fontId="33" fillId="0" borderId="56" xfId="0" applyNumberFormat="1" applyFont="1" applyFill="1" applyBorder="1"/>
    <xf numFmtId="1" fontId="33" fillId="0" borderId="0" xfId="0" applyNumberFormat="1" applyFont="1" applyFill="1" applyBorder="1" applyAlignment="1">
      <alignment horizontal="right"/>
    </xf>
    <xf numFmtId="9" fontId="33" fillId="0" borderId="0" xfId="1" applyFont="1" applyFill="1"/>
    <xf numFmtId="3" fontId="0" fillId="0" borderId="0" xfId="0" applyNumberFormat="1"/>
    <xf numFmtId="173" fontId="19" fillId="24" borderId="105" xfId="0" applyNumberFormat="1" applyFont="1" applyFill="1" applyBorder="1" applyAlignment="1">
      <alignment horizontal="center" vertical="center" shrinkToFit="1"/>
    </xf>
    <xf numFmtId="0" fontId="33" fillId="29" borderId="0" xfId="0" applyFont="1" applyFill="1" applyAlignment="1">
      <alignment vertical="center"/>
    </xf>
    <xf numFmtId="6" fontId="19" fillId="17" borderId="104" xfId="0" applyNumberFormat="1" applyFont="1" applyFill="1" applyBorder="1" applyAlignment="1">
      <alignment horizontal="center" vertical="center" shrinkToFit="1"/>
    </xf>
    <xf numFmtId="173" fontId="19" fillId="17" borderId="105" xfId="0" applyNumberFormat="1" applyFont="1" applyFill="1" applyBorder="1" applyAlignment="1">
      <alignment horizontal="center" vertical="center" shrinkToFit="1"/>
    </xf>
    <xf numFmtId="173" fontId="19" fillId="17" borderId="106" xfId="0" applyNumberFormat="1" applyFont="1" applyFill="1" applyBorder="1" applyAlignment="1">
      <alignment horizontal="center" vertical="center" shrinkToFit="1"/>
    </xf>
    <xf numFmtId="0" fontId="59" fillId="27" borderId="45" xfId="0" applyFont="1" applyFill="1" applyBorder="1"/>
    <xf numFmtId="0" fontId="41" fillId="27" borderId="25" xfId="0" applyFont="1" applyFill="1" applyBorder="1" applyAlignment="1">
      <alignment vertical="center"/>
    </xf>
    <xf numFmtId="0" fontId="59" fillId="27" borderId="25" xfId="0" applyFont="1" applyFill="1" applyBorder="1"/>
    <xf numFmtId="0" fontId="41" fillId="27" borderId="25" xfId="0" applyFont="1" applyFill="1" applyBorder="1" applyAlignment="1">
      <alignment horizontal="center" vertical="center"/>
    </xf>
    <xf numFmtId="0" fontId="59" fillId="27" borderId="31" xfId="0" applyFont="1" applyFill="1" applyBorder="1"/>
    <xf numFmtId="0" fontId="32" fillId="15" borderId="36" xfId="0" applyFont="1" applyFill="1" applyBorder="1"/>
    <xf numFmtId="0" fontId="9" fillId="15" borderId="120" xfId="0" applyFont="1" applyFill="1" applyBorder="1"/>
    <xf numFmtId="0" fontId="9" fillId="15" borderId="121" xfId="0" applyFont="1" applyFill="1" applyBorder="1"/>
    <xf numFmtId="0" fontId="9" fillId="15" borderId="120" xfId="0" applyFont="1" applyFill="1" applyBorder="1" applyAlignment="1">
      <alignment vertical="center"/>
    </xf>
    <xf numFmtId="0" fontId="9" fillId="15" borderId="121" xfId="0" applyFont="1" applyFill="1" applyBorder="1" applyAlignment="1">
      <alignment vertical="center"/>
    </xf>
    <xf numFmtId="0" fontId="32" fillId="15" borderId="121" xfId="0" applyFont="1" applyFill="1" applyBorder="1" applyAlignment="1">
      <alignment vertical="center" shrinkToFit="1"/>
    </xf>
    <xf numFmtId="0" fontId="9" fillId="15" borderId="122" xfId="0" applyFont="1" applyFill="1" applyBorder="1"/>
    <xf numFmtId="0" fontId="9" fillId="15" borderId="123" xfId="0" applyFont="1" applyFill="1" applyBorder="1"/>
    <xf numFmtId="0" fontId="17" fillId="15" borderId="123" xfId="0" applyFont="1" applyFill="1" applyBorder="1"/>
    <xf numFmtId="0" fontId="9" fillId="15" borderId="124" xfId="0" applyFont="1" applyFill="1" applyBorder="1"/>
    <xf numFmtId="0" fontId="38" fillId="8" borderId="117" xfId="0" applyFont="1" applyFill="1" applyBorder="1"/>
    <xf numFmtId="0" fontId="50" fillId="8" borderId="118" xfId="0" applyFont="1" applyFill="1" applyBorder="1" applyAlignment="1">
      <alignment vertical="center"/>
    </xf>
    <xf numFmtId="0" fontId="40" fillId="8" borderId="118" xfId="0" applyFont="1" applyFill="1" applyBorder="1"/>
    <xf numFmtId="0" fontId="40" fillId="8" borderId="119" xfId="0" applyFont="1" applyFill="1" applyBorder="1"/>
    <xf numFmtId="0" fontId="41" fillId="8" borderId="117" xfId="0" applyFont="1" applyFill="1" applyBorder="1"/>
    <xf numFmtId="0" fontId="51" fillId="8" borderId="118" xfId="0" applyFont="1" applyFill="1" applyBorder="1" applyAlignment="1">
      <alignment vertical="center"/>
    </xf>
    <xf numFmtId="0" fontId="27" fillId="8" borderId="118" xfId="0" applyFont="1" applyFill="1" applyBorder="1"/>
    <xf numFmtId="0" fontId="27" fillId="8" borderId="119" xfId="0" applyFont="1" applyFill="1" applyBorder="1"/>
    <xf numFmtId="0" fontId="9" fillId="15" borderId="125" xfId="0" applyFont="1" applyFill="1" applyBorder="1" applyAlignment="1">
      <alignment vertical="center"/>
    </xf>
    <xf numFmtId="0" fontId="27" fillId="15" borderId="126" xfId="0" applyFont="1" applyFill="1" applyBorder="1"/>
    <xf numFmtId="0" fontId="9" fillId="15" borderId="127" xfId="0" applyFont="1" applyFill="1" applyBorder="1"/>
    <xf numFmtId="0" fontId="9" fillId="15" borderId="128" xfId="0" applyFont="1" applyFill="1" applyBorder="1" applyAlignment="1">
      <alignment vertical="center"/>
    </xf>
    <xf numFmtId="0" fontId="9" fillId="15" borderId="129" xfId="0" applyFont="1" applyFill="1" applyBorder="1"/>
    <xf numFmtId="0" fontId="9" fillId="15" borderId="130" xfId="0" applyFont="1" applyFill="1" applyBorder="1"/>
    <xf numFmtId="0" fontId="9" fillId="15" borderId="131" xfId="0" applyFont="1" applyFill="1" applyBorder="1"/>
    <xf numFmtId="0" fontId="9" fillId="15" borderId="132" xfId="0" applyFont="1" applyFill="1" applyBorder="1"/>
    <xf numFmtId="0" fontId="41" fillId="17" borderId="133" xfId="0" applyFont="1" applyFill="1" applyBorder="1"/>
    <xf numFmtId="0" fontId="51" fillId="17" borderId="134" xfId="0" applyFont="1" applyFill="1" applyBorder="1" applyAlignment="1">
      <alignment vertical="center"/>
    </xf>
    <xf numFmtId="0" fontId="27" fillId="17" borderId="134" xfId="0" applyFont="1" applyFill="1" applyBorder="1"/>
    <xf numFmtId="0" fontId="27" fillId="17" borderId="135" xfId="0" applyFont="1" applyFill="1" applyBorder="1"/>
    <xf numFmtId="0" fontId="46" fillId="24" borderId="72" xfId="0" applyFont="1" applyFill="1" applyBorder="1" applyAlignment="1">
      <alignment horizontal="center" vertical="center" wrapText="1"/>
    </xf>
    <xf numFmtId="0" fontId="33" fillId="0" borderId="0" xfId="0" applyFont="1" applyFill="1" applyAlignment="1">
      <alignment vertical="center" textRotation="90"/>
    </xf>
    <xf numFmtId="44" fontId="33" fillId="0" borderId="0" xfId="0" applyNumberFormat="1" applyFont="1" applyFill="1" applyBorder="1" applyAlignment="1">
      <alignment vertical="center" wrapText="1" shrinkToFit="1"/>
    </xf>
    <xf numFmtId="6" fontId="33" fillId="0" borderId="0" xfId="0" applyNumberFormat="1" applyFont="1" applyFill="1" applyBorder="1" applyAlignment="1">
      <alignment vertical="center" shrinkToFit="1"/>
    </xf>
    <xf numFmtId="174" fontId="33" fillId="0" borderId="0" xfId="0" applyNumberFormat="1" applyFont="1" applyFill="1" applyBorder="1" applyAlignment="1">
      <alignment vertical="center" wrapText="1" shrinkToFit="1"/>
    </xf>
    <xf numFmtId="6" fontId="0" fillId="0" borderId="0" xfId="0" applyNumberFormat="1"/>
    <xf numFmtId="0" fontId="24" fillId="0" borderId="0" xfId="0" applyFont="1"/>
    <xf numFmtId="0" fontId="33" fillId="0" borderId="0" xfId="0" applyFont="1" applyFill="1" applyBorder="1" applyAlignment="1">
      <alignment horizontal="center" vertical="center" wrapText="1"/>
    </xf>
    <xf numFmtId="0" fontId="28" fillId="11" borderId="67" xfId="0" applyFont="1" applyFill="1" applyBorder="1" applyAlignment="1">
      <alignment horizontal="center" vertical="center" wrapText="1"/>
    </xf>
    <xf numFmtId="0" fontId="28" fillId="11" borderId="82" xfId="0" applyFont="1" applyFill="1" applyBorder="1" applyAlignment="1">
      <alignment horizontal="center" vertical="center" wrapText="1"/>
    </xf>
    <xf numFmtId="0" fontId="29" fillId="11" borderId="66" xfId="0" applyFont="1" applyFill="1" applyBorder="1" applyAlignment="1">
      <alignment horizontal="center" vertical="center" wrapText="1"/>
    </xf>
    <xf numFmtId="0" fontId="28" fillId="11" borderId="141" xfId="0" applyFont="1" applyFill="1" applyBorder="1" applyAlignment="1">
      <alignment horizontal="center" vertical="center"/>
    </xf>
    <xf numFmtId="0" fontId="29" fillId="14" borderId="142" xfId="0" applyFont="1" applyFill="1" applyBorder="1" applyAlignment="1">
      <alignment horizontal="center" vertical="center" wrapText="1"/>
    </xf>
    <xf numFmtId="0" fontId="29" fillId="14" borderId="70" xfId="0" applyFont="1" applyFill="1" applyBorder="1" applyAlignment="1">
      <alignment horizontal="center" vertical="center" wrapText="1"/>
    </xf>
    <xf numFmtId="0" fontId="29" fillId="14" borderId="89" xfId="0" applyFont="1" applyFill="1" applyBorder="1" applyAlignment="1">
      <alignment horizontal="center" vertical="center" wrapText="1"/>
    </xf>
    <xf numFmtId="0" fontId="46" fillId="17" borderId="146" xfId="0" applyFont="1" applyFill="1" applyBorder="1" applyAlignment="1">
      <alignment horizontal="center" vertical="center" wrapText="1"/>
    </xf>
    <xf numFmtId="0" fontId="46" fillId="17" borderId="147" xfId="0" applyFont="1" applyFill="1" applyBorder="1" applyAlignment="1">
      <alignment horizontal="center" vertical="center" wrapText="1"/>
    </xf>
    <xf numFmtId="0" fontId="46" fillId="17" borderId="148" xfId="0" applyFont="1" applyFill="1" applyBorder="1" applyAlignment="1">
      <alignment horizontal="center" vertical="center" wrapText="1"/>
    </xf>
    <xf numFmtId="0" fontId="29" fillId="28" borderId="149" xfId="0" applyFont="1" applyFill="1" applyBorder="1" applyAlignment="1">
      <alignment horizontal="center" vertical="center" wrapText="1"/>
    </xf>
    <xf numFmtId="0" fontId="29" fillId="28" borderId="150" xfId="0" applyFont="1" applyFill="1" applyBorder="1" applyAlignment="1">
      <alignment horizontal="center" vertical="center" wrapText="1"/>
    </xf>
    <xf numFmtId="0" fontId="34" fillId="0" borderId="0" xfId="2" applyFont="1" applyAlignment="1" applyProtection="1"/>
    <xf numFmtId="0" fontId="7" fillId="0" borderId="0" xfId="0" applyFont="1"/>
    <xf numFmtId="0" fontId="33" fillId="15" borderId="136" xfId="0" applyFont="1" applyFill="1" applyBorder="1"/>
    <xf numFmtId="0" fontId="33" fillId="15" borderId="137" xfId="0" applyFont="1" applyFill="1" applyBorder="1"/>
    <xf numFmtId="0" fontId="33" fillId="15" borderId="138" xfId="0" applyFont="1" applyFill="1" applyBorder="1"/>
    <xf numFmtId="0" fontId="33" fillId="15" borderId="128" xfId="0" applyFont="1" applyFill="1" applyBorder="1"/>
    <xf numFmtId="0" fontId="33" fillId="15" borderId="129" xfId="0" applyFont="1" applyFill="1" applyBorder="1"/>
    <xf numFmtId="10" fontId="7" fillId="0" borderId="151" xfId="0" applyNumberFormat="1" applyFont="1" applyFill="1" applyBorder="1" applyAlignment="1">
      <alignment horizontal="center" vertical="center"/>
    </xf>
    <xf numFmtId="9" fontId="33" fillId="0" borderId="0" xfId="0" applyNumberFormat="1" applyFont="1"/>
    <xf numFmtId="0" fontId="33" fillId="15" borderId="130" xfId="0" applyFont="1" applyFill="1" applyBorder="1"/>
    <xf numFmtId="0" fontId="33" fillId="15" borderId="131" xfId="0" applyFont="1" applyFill="1" applyBorder="1"/>
    <xf numFmtId="0" fontId="33" fillId="15" borderId="132" xfId="0" applyFont="1" applyFill="1" applyBorder="1"/>
    <xf numFmtId="2" fontId="7" fillId="0" borderId="0" xfId="0" applyNumberFormat="1" applyFont="1" applyFill="1"/>
    <xf numFmtId="2" fontId="33" fillId="0" borderId="0" xfId="0" applyNumberFormat="1" applyFont="1" applyFill="1"/>
    <xf numFmtId="3" fontId="7" fillId="11" borderId="65" xfId="0" applyNumberFormat="1" applyFont="1" applyFill="1" applyBorder="1" applyAlignment="1">
      <alignment horizontal="center" vertical="center"/>
    </xf>
    <xf numFmtId="0" fontId="7" fillId="0" borderId="0" xfId="0" applyFont="1" applyFill="1"/>
    <xf numFmtId="0" fontId="33" fillId="0" borderId="19" xfId="0" applyFont="1" applyBorder="1"/>
    <xf numFmtId="0" fontId="33" fillId="0" borderId="22" xfId="0" applyFont="1" applyBorder="1"/>
    <xf numFmtId="0" fontId="33" fillId="0" borderId="4" xfId="0" applyFont="1" applyBorder="1"/>
    <xf numFmtId="0" fontId="33" fillId="0" borderId="0" xfId="0" applyFont="1" applyAlignment="1">
      <alignment vertical="center" wrapText="1"/>
    </xf>
    <xf numFmtId="166" fontId="33" fillId="0" borderId="0" xfId="1" applyNumberFormat="1" applyFont="1"/>
    <xf numFmtId="0" fontId="7" fillId="13" borderId="0" xfId="0" applyFont="1" applyFill="1"/>
    <xf numFmtId="0" fontId="7" fillId="15" borderId="0" xfId="0" applyFont="1" applyFill="1" applyBorder="1"/>
    <xf numFmtId="0" fontId="53" fillId="15" borderId="0" xfId="0" applyFont="1" applyFill="1" applyBorder="1"/>
    <xf numFmtId="0" fontId="7" fillId="15" borderId="131" xfId="0" applyFont="1" applyFill="1" applyBorder="1"/>
    <xf numFmtId="0" fontId="7" fillId="15" borderId="137" xfId="0" applyFont="1" applyFill="1" applyBorder="1"/>
    <xf numFmtId="0" fontId="53" fillId="15" borderId="131" xfId="0" applyFont="1" applyFill="1" applyBorder="1"/>
    <xf numFmtId="0" fontId="6" fillId="15" borderId="0" xfId="0" applyFont="1" applyFill="1" applyBorder="1"/>
    <xf numFmtId="10" fontId="6" fillId="0" borderId="151" xfId="0" applyNumberFormat="1" applyFont="1" applyFill="1" applyBorder="1" applyAlignment="1">
      <alignment horizontal="center" vertical="center"/>
    </xf>
    <xf numFmtId="0" fontId="17" fillId="15" borderId="0" xfId="0" applyFont="1" applyFill="1" applyBorder="1" applyAlignment="1">
      <alignment horizontal="right"/>
    </xf>
    <xf numFmtId="0" fontId="42" fillId="23" borderId="45" xfId="0" applyFont="1" applyFill="1" applyBorder="1" applyAlignment="1">
      <alignment horizontal="left" vertical="center" indent="1"/>
    </xf>
    <xf numFmtId="0" fontId="42" fillId="23" borderId="25" xfId="0" applyFont="1" applyFill="1" applyBorder="1" applyAlignment="1">
      <alignment vertical="center"/>
    </xf>
    <xf numFmtId="0" fontId="44" fillId="23" borderId="25" xfId="0" applyFont="1" applyFill="1" applyBorder="1"/>
    <xf numFmtId="0" fontId="42" fillId="23" borderId="25" xfId="0" applyFont="1" applyFill="1" applyBorder="1" applyAlignment="1">
      <alignment horizontal="center" vertical="center"/>
    </xf>
    <xf numFmtId="0" fontId="44" fillId="23" borderId="31" xfId="0" applyFont="1" applyFill="1" applyBorder="1"/>
    <xf numFmtId="0" fontId="50" fillId="24" borderId="118" xfId="0" applyFont="1" applyFill="1" applyBorder="1" applyAlignment="1">
      <alignment vertical="center"/>
    </xf>
    <xf numFmtId="0" fontId="40" fillId="24" borderId="118" xfId="0" applyFont="1" applyFill="1" applyBorder="1"/>
    <xf numFmtId="0" fontId="40" fillId="24" borderId="119" xfId="0" applyFont="1" applyFill="1" applyBorder="1"/>
    <xf numFmtId="0" fontId="38" fillId="24" borderId="117" xfId="0" applyFont="1" applyFill="1" applyBorder="1" applyAlignment="1">
      <alignment horizontal="left" indent="1"/>
    </xf>
    <xf numFmtId="0" fontId="38" fillId="24" borderId="125" xfId="0" applyFont="1" applyFill="1" applyBorder="1" applyAlignment="1">
      <alignment horizontal="left" indent="1"/>
    </xf>
    <xf numFmtId="0" fontId="50" fillId="24" borderId="126" xfId="0" applyFont="1" applyFill="1" applyBorder="1" applyAlignment="1">
      <alignment vertical="center"/>
    </xf>
    <xf numFmtId="0" fontId="40" fillId="24" borderId="126" xfId="0" applyFont="1" applyFill="1" applyBorder="1"/>
    <xf numFmtId="0" fontId="40" fillId="24" borderId="127" xfId="0" applyFont="1" applyFill="1" applyBorder="1"/>
    <xf numFmtId="0" fontId="35" fillId="0" borderId="0" xfId="0" applyFont="1"/>
    <xf numFmtId="0" fontId="11" fillId="15" borderId="0" xfId="0" applyFont="1" applyFill="1" applyBorder="1"/>
    <xf numFmtId="0" fontId="6" fillId="13" borderId="0" xfId="0" applyFont="1" applyFill="1" applyBorder="1" applyAlignment="1"/>
    <xf numFmtId="0" fontId="6" fillId="13" borderId="0" xfId="0" applyFont="1" applyFill="1" applyBorder="1" applyAlignment="1">
      <alignment horizontal="left"/>
    </xf>
    <xf numFmtId="14" fontId="6" fillId="13" borderId="0" xfId="0" applyNumberFormat="1" applyFont="1" applyFill="1" applyBorder="1" applyAlignment="1">
      <alignment horizontal="left"/>
    </xf>
    <xf numFmtId="0" fontId="6" fillId="13" borderId="0" xfId="0" applyFont="1" applyFill="1" applyBorder="1" applyAlignment="1">
      <alignment horizontal="right"/>
    </xf>
    <xf numFmtId="0" fontId="10" fillId="13" borderId="0" xfId="0" applyFont="1" applyFill="1" applyBorder="1"/>
    <xf numFmtId="0" fontId="60" fillId="15" borderId="0" xfId="0" applyFont="1" applyFill="1" applyBorder="1" applyAlignment="1">
      <alignment horizontal="center" vertical="center" wrapText="1"/>
    </xf>
    <xf numFmtId="0" fontId="61" fillId="15" borderId="0" xfId="0" applyFont="1" applyFill="1" applyBorder="1" applyAlignment="1">
      <alignment vertical="top"/>
    </xf>
    <xf numFmtId="0" fontId="10" fillId="11" borderId="0" xfId="0" applyFont="1" applyFill="1" applyBorder="1" applyAlignment="1">
      <alignment horizontal="center" vertical="center" wrapText="1"/>
    </xf>
    <xf numFmtId="174" fontId="17" fillId="14" borderId="0" xfId="0" applyNumberFormat="1" applyFont="1" applyFill="1" applyBorder="1" applyAlignment="1">
      <alignment horizontal="center" vertical="center" wrapText="1"/>
    </xf>
    <xf numFmtId="3" fontId="10" fillId="14" borderId="0" xfId="0" applyNumberFormat="1" applyFont="1" applyFill="1" applyBorder="1" applyAlignment="1">
      <alignment horizontal="center" vertical="center" wrapText="1"/>
    </xf>
    <xf numFmtId="0" fontId="29" fillId="28" borderId="156" xfId="0" applyFont="1" applyFill="1" applyBorder="1" applyAlignment="1">
      <alignment horizontal="center" vertical="center" wrapText="1"/>
    </xf>
    <xf numFmtId="0" fontId="29" fillId="22" borderId="100" xfId="0" applyFont="1" applyFill="1" applyBorder="1" applyAlignment="1">
      <alignment horizontal="center" vertical="center" wrapText="1"/>
    </xf>
    <xf numFmtId="0" fontId="29" fillId="22" borderId="74" xfId="0" applyFont="1" applyFill="1" applyBorder="1" applyAlignment="1">
      <alignment horizontal="center" vertical="center" wrapText="1"/>
    </xf>
    <xf numFmtId="0" fontId="29" fillId="22" borderId="101" xfId="0" applyFont="1" applyFill="1" applyBorder="1" applyAlignment="1">
      <alignment horizontal="center" vertical="center" wrapText="1"/>
    </xf>
    <xf numFmtId="0" fontId="29" fillId="26" borderId="79" xfId="0" applyFont="1" applyFill="1" applyBorder="1" applyAlignment="1">
      <alignment horizontal="center" vertical="center" wrapText="1"/>
    </xf>
    <xf numFmtId="0" fontId="28" fillId="26" borderId="97" xfId="0" applyFont="1" applyFill="1" applyBorder="1" applyAlignment="1">
      <alignment horizontal="center" vertical="center"/>
    </xf>
    <xf numFmtId="170" fontId="17" fillId="28" borderId="75" xfId="0" applyNumberFormat="1" applyFont="1" applyFill="1" applyBorder="1" applyAlignment="1">
      <alignment horizontal="center" vertical="center" wrapText="1" shrinkToFit="1"/>
    </xf>
    <xf numFmtId="169" fontId="17" fillId="28" borderId="74" xfId="0" applyNumberFormat="1" applyFont="1" applyFill="1" applyBorder="1" applyAlignment="1">
      <alignment horizontal="center" vertical="center" wrapText="1" shrinkToFit="1"/>
    </xf>
    <xf numFmtId="168" fontId="17" fillId="28" borderId="74" xfId="0" applyNumberFormat="1" applyFont="1" applyFill="1" applyBorder="1" applyAlignment="1">
      <alignment horizontal="center" vertical="center" wrapText="1" shrinkToFit="1"/>
    </xf>
    <xf numFmtId="168" fontId="17" fillId="22" borderId="157" xfId="4" applyNumberFormat="1" applyFont="1" applyFill="1" applyBorder="1" applyAlignment="1">
      <alignment horizontal="center" vertical="center" wrapText="1" shrinkToFit="1"/>
    </xf>
    <xf numFmtId="170" fontId="17" fillId="22" borderId="158" xfId="4" applyNumberFormat="1" applyFont="1" applyFill="1" applyBorder="1" applyAlignment="1">
      <alignment horizontal="center" vertical="center" wrapText="1" shrinkToFit="1"/>
    </xf>
    <xf numFmtId="176" fontId="17" fillId="22" borderId="159" xfId="4" applyNumberFormat="1" applyFont="1" applyFill="1" applyBorder="1" applyAlignment="1">
      <alignment horizontal="center" vertical="center" wrapText="1" shrinkToFit="1"/>
    </xf>
    <xf numFmtId="177" fontId="17" fillId="26" borderId="160" xfId="0" applyNumberFormat="1" applyFont="1" applyFill="1" applyBorder="1" applyAlignment="1">
      <alignment horizontal="center" vertical="center" wrapText="1" shrinkToFit="1"/>
    </xf>
    <xf numFmtId="6" fontId="17" fillId="26" borderId="161" xfId="0" applyNumberFormat="1" applyFont="1" applyFill="1" applyBorder="1" applyAlignment="1">
      <alignment horizontal="center" vertical="center" wrapText="1" shrinkToFit="1"/>
    </xf>
    <xf numFmtId="9" fontId="17" fillId="26" borderId="162" xfId="0" applyNumberFormat="1" applyFont="1" applyFill="1" applyBorder="1" applyAlignment="1">
      <alignment horizontal="center" vertical="center" wrapText="1" shrinkToFit="1"/>
    </xf>
    <xf numFmtId="177" fontId="17" fillId="26" borderId="163" xfId="0" applyNumberFormat="1" applyFont="1" applyFill="1" applyBorder="1" applyAlignment="1">
      <alignment horizontal="center" vertical="center" wrapText="1" shrinkToFit="1"/>
    </xf>
    <xf numFmtId="9" fontId="17" fillId="26" borderId="164" xfId="0" applyNumberFormat="1" applyFont="1" applyFill="1" applyBorder="1" applyAlignment="1">
      <alignment horizontal="center" vertical="center" wrapText="1" shrinkToFit="1"/>
    </xf>
    <xf numFmtId="0" fontId="32" fillId="15" borderId="128" xfId="0" applyFont="1" applyFill="1" applyBorder="1" applyAlignment="1">
      <alignment vertical="center"/>
    </xf>
    <xf numFmtId="0" fontId="6" fillId="13" borderId="0" xfId="0" applyFont="1" applyFill="1"/>
    <xf numFmtId="0" fontId="46" fillId="17" borderId="147" xfId="0" applyFont="1" applyFill="1" applyBorder="1" applyAlignment="1">
      <alignment horizontal="center" vertical="center" shrinkToFit="1"/>
    </xf>
    <xf numFmtId="0" fontId="53" fillId="13" borderId="0" xfId="0" applyFont="1" applyFill="1"/>
    <xf numFmtId="0" fontId="29" fillId="28" borderId="168" xfId="0" applyFont="1" applyFill="1" applyBorder="1" applyAlignment="1">
      <alignment horizontal="center" vertical="center"/>
    </xf>
    <xf numFmtId="0" fontId="29" fillId="28" borderId="169" xfId="0" applyFont="1" applyFill="1" applyBorder="1" applyAlignment="1">
      <alignment horizontal="center" vertical="center"/>
    </xf>
    <xf numFmtId="0" fontId="29" fillId="28" borderId="170" xfId="0" applyFont="1" applyFill="1" applyBorder="1" applyAlignment="1">
      <alignment horizontal="center" vertical="center"/>
    </xf>
    <xf numFmtId="3" fontId="25" fillId="22" borderId="182" xfId="0" applyNumberFormat="1" applyFont="1" applyFill="1" applyBorder="1" applyAlignment="1">
      <alignment horizontal="center" vertical="center" shrinkToFit="1"/>
    </xf>
    <xf numFmtId="173" fontId="10" fillId="22" borderId="183" xfId="0" applyNumberFormat="1" applyFont="1" applyFill="1" applyBorder="1" applyAlignment="1">
      <alignment horizontal="center" vertical="center" shrinkToFit="1"/>
    </xf>
    <xf numFmtId="174" fontId="25" fillId="22" borderId="184" xfId="0" applyNumberFormat="1" applyFont="1" applyFill="1" applyBorder="1" applyAlignment="1">
      <alignment horizontal="center" vertical="center" shrinkToFit="1"/>
    </xf>
    <xf numFmtId="6" fontId="10" fillId="28" borderId="185" xfId="0" applyNumberFormat="1" applyFont="1" applyFill="1" applyBorder="1" applyAlignment="1">
      <alignment horizontal="center" vertical="center" shrinkToFit="1"/>
    </xf>
    <xf numFmtId="173" fontId="10" fillId="28" borderId="183" xfId="0" applyNumberFormat="1" applyFont="1" applyFill="1" applyBorder="1" applyAlignment="1">
      <alignment horizontal="center" vertical="center" shrinkToFit="1"/>
    </xf>
    <xf numFmtId="173" fontId="10" fillId="28" borderId="186" xfId="0" applyNumberFormat="1" applyFont="1" applyFill="1" applyBorder="1" applyAlignment="1">
      <alignment horizontal="center" vertical="center" shrinkToFit="1"/>
    </xf>
    <xf numFmtId="180" fontId="10" fillId="26" borderId="187" xfId="0" applyNumberFormat="1" applyFont="1" applyFill="1" applyBorder="1" applyAlignment="1">
      <alignment horizontal="center" vertical="center" shrinkToFit="1"/>
    </xf>
    <xf numFmtId="6" fontId="10" fillId="26" borderId="188" xfId="0" applyNumberFormat="1" applyFont="1" applyFill="1" applyBorder="1" applyAlignment="1">
      <alignment horizontal="center" vertical="center" shrinkToFit="1"/>
    </xf>
    <xf numFmtId="9" fontId="10" fillId="26" borderId="189" xfId="0" applyNumberFormat="1" applyFont="1" applyFill="1" applyBorder="1" applyAlignment="1">
      <alignment horizontal="center" vertical="center" shrinkToFit="1"/>
    </xf>
    <xf numFmtId="9" fontId="10" fillId="26" borderId="190" xfId="0" applyNumberFormat="1" applyFont="1" applyFill="1" applyBorder="1" applyAlignment="1">
      <alignment horizontal="center" vertical="center" shrinkToFit="1"/>
    </xf>
    <xf numFmtId="3" fontId="25" fillId="22" borderId="193" xfId="0" applyNumberFormat="1" applyFont="1" applyFill="1" applyBorder="1" applyAlignment="1">
      <alignment horizontal="center" vertical="center" shrinkToFit="1"/>
    </xf>
    <xf numFmtId="173" fontId="10" fillId="22" borderId="194" xfId="0" applyNumberFormat="1" applyFont="1" applyFill="1" applyBorder="1" applyAlignment="1">
      <alignment horizontal="center" vertical="center" shrinkToFit="1"/>
    </xf>
    <xf numFmtId="174" fontId="25" fillId="22" borderId="195" xfId="0" applyNumberFormat="1" applyFont="1" applyFill="1" applyBorder="1" applyAlignment="1">
      <alignment horizontal="center" vertical="center" shrinkToFit="1"/>
    </xf>
    <xf numFmtId="6" fontId="10" fillId="28" borderId="196" xfId="0" applyNumberFormat="1" applyFont="1" applyFill="1" applyBorder="1" applyAlignment="1">
      <alignment horizontal="center" vertical="center" shrinkToFit="1"/>
    </xf>
    <xf numFmtId="173" fontId="10" fillId="28" borderId="194" xfId="0" applyNumberFormat="1" applyFont="1" applyFill="1" applyBorder="1" applyAlignment="1">
      <alignment horizontal="center" vertical="center" shrinkToFit="1"/>
    </xf>
    <xf numFmtId="173" fontId="10" fillId="28" borderId="197" xfId="0" applyNumberFormat="1" applyFont="1" applyFill="1" applyBorder="1" applyAlignment="1">
      <alignment horizontal="center" vertical="center" shrinkToFit="1"/>
    </xf>
    <xf numFmtId="180" fontId="10" fillId="26" borderId="198" xfId="0" applyNumberFormat="1" applyFont="1" applyFill="1" applyBorder="1" applyAlignment="1">
      <alignment horizontal="center" vertical="center" shrinkToFit="1"/>
    </xf>
    <xf numFmtId="6" fontId="10" fillId="26" borderId="199" xfId="0" applyNumberFormat="1" applyFont="1" applyFill="1" applyBorder="1" applyAlignment="1">
      <alignment horizontal="center" vertical="center" shrinkToFit="1"/>
    </xf>
    <xf numFmtId="9" fontId="10" fillId="26" borderId="200" xfId="0" applyNumberFormat="1" applyFont="1" applyFill="1" applyBorder="1" applyAlignment="1">
      <alignment horizontal="center" vertical="center" shrinkToFit="1"/>
    </xf>
    <xf numFmtId="9" fontId="10" fillId="26" borderId="201" xfId="0" applyNumberFormat="1" applyFont="1" applyFill="1" applyBorder="1" applyAlignment="1">
      <alignment horizontal="center" vertical="center" shrinkToFit="1"/>
    </xf>
    <xf numFmtId="3" fontId="25" fillId="22" borderId="204" xfId="0" applyNumberFormat="1" applyFont="1" applyFill="1" applyBorder="1" applyAlignment="1">
      <alignment horizontal="center" vertical="center" shrinkToFit="1"/>
    </xf>
    <xf numFmtId="173" fontId="10" fillId="22" borderId="205" xfId="0" applyNumberFormat="1" applyFont="1" applyFill="1" applyBorder="1" applyAlignment="1">
      <alignment horizontal="center" vertical="center" shrinkToFit="1"/>
    </xf>
    <xf numFmtId="174" fontId="25" fillId="22" borderId="206" xfId="0" applyNumberFormat="1" applyFont="1" applyFill="1" applyBorder="1" applyAlignment="1">
      <alignment horizontal="center" vertical="center" shrinkToFit="1"/>
    </xf>
    <xf numFmtId="6" fontId="10" fillId="28" borderId="207" xfId="0" applyNumberFormat="1" applyFont="1" applyFill="1" applyBorder="1" applyAlignment="1">
      <alignment horizontal="center" vertical="center" shrinkToFit="1"/>
    </xf>
    <xf numFmtId="173" fontId="10" fillId="28" borderId="205" xfId="0" applyNumberFormat="1" applyFont="1" applyFill="1" applyBorder="1" applyAlignment="1">
      <alignment horizontal="center" vertical="center" shrinkToFit="1"/>
    </xf>
    <xf numFmtId="173" fontId="10" fillId="28" borderId="208" xfId="0" applyNumberFormat="1" applyFont="1" applyFill="1" applyBorder="1" applyAlignment="1">
      <alignment horizontal="center" vertical="center" shrinkToFit="1"/>
    </xf>
    <xf numFmtId="180" fontId="10" fillId="26" borderId="209" xfId="0" applyNumberFormat="1" applyFont="1" applyFill="1" applyBorder="1" applyAlignment="1">
      <alignment horizontal="center" vertical="center" shrinkToFit="1"/>
    </xf>
    <xf numFmtId="6" fontId="10" fillId="26" borderId="210" xfId="0" applyNumberFormat="1" applyFont="1" applyFill="1" applyBorder="1" applyAlignment="1">
      <alignment horizontal="center" vertical="center" shrinkToFit="1"/>
    </xf>
    <xf numFmtId="9" fontId="10" fillId="26" borderId="211" xfId="0" applyNumberFormat="1" applyFont="1" applyFill="1" applyBorder="1" applyAlignment="1">
      <alignment horizontal="center" vertical="center" shrinkToFit="1"/>
    </xf>
    <xf numFmtId="9" fontId="10" fillId="26" borderId="212" xfId="0" applyNumberFormat="1" applyFont="1" applyFill="1" applyBorder="1" applyAlignment="1">
      <alignment horizontal="center" vertical="center" shrinkToFit="1"/>
    </xf>
    <xf numFmtId="3" fontId="9" fillId="11" borderId="217" xfId="0" applyNumberFormat="1" applyFont="1" applyFill="1" applyBorder="1" applyAlignment="1">
      <alignment horizontal="center" vertical="center"/>
    </xf>
    <xf numFmtId="173" fontId="9" fillId="11" borderId="215" xfId="0" applyNumberFormat="1" applyFont="1" applyFill="1" applyBorder="1" applyAlignment="1">
      <alignment horizontal="center" vertical="center"/>
    </xf>
    <xf numFmtId="3" fontId="9" fillId="11" borderId="220" xfId="0" applyNumberFormat="1" applyFont="1" applyFill="1" applyBorder="1" applyAlignment="1">
      <alignment horizontal="center" vertical="center"/>
    </xf>
    <xf numFmtId="173" fontId="9" fillId="11" borderId="219" xfId="0" applyNumberFormat="1" applyFont="1" applyFill="1" applyBorder="1" applyAlignment="1">
      <alignment horizontal="center" vertical="center"/>
    </xf>
    <xf numFmtId="3" fontId="9" fillId="11" borderId="225" xfId="0" applyNumberFormat="1" applyFont="1" applyFill="1" applyBorder="1" applyAlignment="1">
      <alignment horizontal="center" vertical="center"/>
    </xf>
    <xf numFmtId="173" fontId="9" fillId="11" borderId="223" xfId="0" applyNumberFormat="1" applyFont="1" applyFill="1" applyBorder="1" applyAlignment="1">
      <alignment horizontal="center" vertical="center"/>
    </xf>
    <xf numFmtId="0" fontId="28" fillId="11" borderId="231" xfId="0" applyFont="1" applyFill="1" applyBorder="1" applyAlignment="1">
      <alignment horizontal="center" vertical="center" wrapText="1"/>
    </xf>
    <xf numFmtId="0" fontId="28" fillId="11" borderId="191" xfId="0" applyFont="1" applyFill="1" applyBorder="1" applyAlignment="1">
      <alignment horizontal="center" vertical="center" wrapText="1"/>
    </xf>
    <xf numFmtId="0" fontId="28" fillId="11" borderId="241" xfId="0" applyFont="1" applyFill="1" applyBorder="1" applyAlignment="1">
      <alignment horizontal="center" vertical="center" wrapText="1"/>
    </xf>
    <xf numFmtId="0" fontId="26" fillId="11" borderId="0" xfId="0" applyFont="1" applyFill="1" applyBorder="1" applyAlignment="1">
      <alignment horizontal="center" vertical="center" wrapText="1"/>
    </xf>
    <xf numFmtId="0" fontId="4" fillId="13" borderId="0" xfId="0" applyFont="1" applyFill="1"/>
    <xf numFmtId="0" fontId="4" fillId="0" borderId="0" xfId="0" applyFont="1" applyFill="1" applyBorder="1"/>
    <xf numFmtId="0" fontId="4" fillId="13" borderId="0" xfId="0" applyFont="1" applyFill="1" applyAlignment="1">
      <alignment vertical="center"/>
    </xf>
    <xf numFmtId="0" fontId="10" fillId="15" borderId="0" xfId="0" applyFont="1" applyFill="1" applyBorder="1"/>
    <xf numFmtId="173" fontId="17" fillId="0" borderId="0" xfId="4" applyNumberFormat="1" applyFont="1" applyFill="1" applyBorder="1" applyAlignment="1">
      <alignment horizontal="center" vertical="center" wrapText="1" shrinkToFit="1"/>
    </xf>
    <xf numFmtId="0" fontId="4" fillId="15" borderId="38" xfId="0" applyFont="1" applyFill="1" applyBorder="1"/>
    <xf numFmtId="0" fontId="43" fillId="15" borderId="263" xfId="0" applyFont="1" applyFill="1" applyBorder="1"/>
    <xf numFmtId="0" fontId="0" fillId="15" borderId="264" xfId="0" applyFill="1" applyBorder="1"/>
    <xf numFmtId="0" fontId="0" fillId="15" borderId="265" xfId="0" applyFill="1" applyBorder="1"/>
    <xf numFmtId="0" fontId="43" fillId="15" borderId="266" xfId="0" applyFont="1" applyFill="1" applyBorder="1"/>
    <xf numFmtId="0" fontId="0" fillId="15" borderId="267" xfId="0" applyFill="1" applyBorder="1"/>
    <xf numFmtId="0" fontId="43" fillId="15" borderId="268" xfId="0" applyFont="1" applyFill="1" applyBorder="1"/>
    <xf numFmtId="0" fontId="0" fillId="15" borderId="269" xfId="0" applyFill="1" applyBorder="1"/>
    <xf numFmtId="0" fontId="0" fillId="15" borderId="270" xfId="0" applyFill="1" applyBorder="1"/>
    <xf numFmtId="0" fontId="13" fillId="11" borderId="272" xfId="0" applyFont="1" applyFill="1" applyBorder="1" applyAlignment="1">
      <alignment horizontal="center"/>
    </xf>
    <xf numFmtId="180" fontId="0" fillId="11" borderId="273" xfId="0" applyNumberFormat="1" applyFill="1" applyBorder="1"/>
    <xf numFmtId="0" fontId="13" fillId="11" borderId="274" xfId="0" applyFont="1" applyFill="1" applyBorder="1" applyAlignment="1">
      <alignment horizontal="center"/>
    </xf>
    <xf numFmtId="180" fontId="0" fillId="11" borderId="275" xfId="0" applyNumberFormat="1" applyFill="1" applyBorder="1"/>
    <xf numFmtId="0" fontId="13" fillId="11" borderId="277" xfId="0" applyFont="1" applyFill="1" applyBorder="1" applyAlignment="1">
      <alignment horizontal="center"/>
    </xf>
    <xf numFmtId="180" fontId="0" fillId="11" borderId="278" xfId="0" applyNumberFormat="1" applyFill="1" applyBorder="1"/>
    <xf numFmtId="0" fontId="17" fillId="15" borderId="267" xfId="0" applyFont="1" applyFill="1" applyBorder="1" applyAlignment="1">
      <alignment vertical="center"/>
    </xf>
    <xf numFmtId="0" fontId="29" fillId="11" borderId="280" xfId="0" applyFont="1" applyFill="1" applyBorder="1" applyAlignment="1">
      <alignment horizontal="center" vertical="center" wrapText="1"/>
    </xf>
    <xf numFmtId="1" fontId="17" fillId="11" borderId="267" xfId="0" applyNumberFormat="1" applyFont="1" applyFill="1" applyBorder="1" applyAlignment="1">
      <alignment horizontal="center" vertical="center"/>
    </xf>
    <xf numFmtId="0" fontId="19" fillId="8" borderId="281" xfId="0" applyFont="1" applyFill="1" applyBorder="1" applyAlignment="1">
      <alignment horizontal="center" vertical="center" wrapText="1"/>
    </xf>
    <xf numFmtId="0" fontId="19" fillId="8" borderId="268" xfId="0" applyFont="1" applyFill="1" applyBorder="1" applyAlignment="1">
      <alignment horizontal="center" vertical="center" wrapText="1"/>
    </xf>
    <xf numFmtId="0" fontId="29" fillId="11" borderId="259" xfId="0" applyFont="1" applyFill="1" applyBorder="1" applyAlignment="1">
      <alignment horizontal="center" vertical="center" wrapText="1"/>
    </xf>
    <xf numFmtId="0" fontId="17" fillId="11" borderId="270" xfId="0" applyFont="1" applyFill="1" applyBorder="1" applyAlignment="1">
      <alignment horizontal="center" vertical="center"/>
    </xf>
    <xf numFmtId="1" fontId="17" fillId="11" borderId="282" xfId="0" applyNumberFormat="1" applyFont="1" applyFill="1" applyBorder="1" applyAlignment="1">
      <alignment horizontal="center" vertical="center"/>
    </xf>
    <xf numFmtId="3" fontId="7" fillId="11" borderId="283" xfId="0" applyNumberFormat="1" applyFont="1" applyFill="1" applyBorder="1" applyAlignment="1">
      <alignment horizontal="center" vertical="center"/>
    </xf>
    <xf numFmtId="1" fontId="17" fillId="11" borderId="284" xfId="0" applyNumberFormat="1" applyFont="1" applyFill="1" applyBorder="1" applyAlignment="1">
      <alignment horizontal="center" vertical="center"/>
    </xf>
    <xf numFmtId="3" fontId="7" fillId="13" borderId="250" xfId="0" applyNumberFormat="1" applyFont="1" applyFill="1" applyBorder="1" applyAlignment="1">
      <alignment horizontal="center" vertical="center"/>
    </xf>
    <xf numFmtId="0" fontId="0" fillId="0" borderId="0" xfId="0" applyFont="1"/>
    <xf numFmtId="3" fontId="9" fillId="13" borderId="214" xfId="0" applyNumberFormat="1" applyFont="1" applyFill="1" applyBorder="1" applyAlignment="1" applyProtection="1">
      <alignment horizontal="center" vertical="center"/>
      <protection locked="0"/>
    </xf>
    <xf numFmtId="3" fontId="9" fillId="13" borderId="218" xfId="0" applyNumberFormat="1" applyFont="1" applyFill="1" applyBorder="1" applyAlignment="1" applyProtection="1">
      <alignment horizontal="center" vertical="center"/>
      <protection locked="0"/>
    </xf>
    <xf numFmtId="3" fontId="9" fillId="13" borderId="222" xfId="0" applyNumberFormat="1" applyFont="1" applyFill="1" applyBorder="1" applyAlignment="1" applyProtection="1">
      <alignment horizontal="center" vertical="center"/>
      <protection locked="0"/>
    </xf>
    <xf numFmtId="172" fontId="9" fillId="13" borderId="177" xfId="0" applyNumberFormat="1" applyFont="1" applyFill="1" applyBorder="1" applyAlignment="1" applyProtection="1">
      <alignment horizontal="center" vertical="center" wrapText="1"/>
      <protection locked="0"/>
    </xf>
    <xf numFmtId="9" fontId="9" fillId="13" borderId="173" xfId="1" applyFont="1" applyFill="1" applyBorder="1" applyAlignment="1" applyProtection="1">
      <alignment horizontal="center" vertical="center"/>
      <protection locked="0"/>
    </xf>
    <xf numFmtId="0" fontId="9" fillId="13" borderId="176" xfId="1" applyNumberFormat="1" applyFont="1" applyFill="1" applyBorder="1" applyAlignment="1" applyProtection="1">
      <alignment horizontal="center" vertical="center" shrinkToFit="1"/>
      <protection locked="0"/>
    </xf>
    <xf numFmtId="10" fontId="9" fillId="0" borderId="64" xfId="0" applyNumberFormat="1" applyFont="1" applyFill="1" applyBorder="1" applyAlignment="1" applyProtection="1">
      <alignment horizontal="center" vertical="center"/>
      <protection locked="0"/>
    </xf>
    <xf numFmtId="0" fontId="6" fillId="13" borderId="254" xfId="0" applyFont="1" applyFill="1" applyBorder="1" applyAlignment="1" applyProtection="1">
      <alignment horizontal="center" vertical="center" wrapText="1"/>
      <protection locked="0"/>
    </xf>
    <xf numFmtId="0" fontId="25" fillId="13" borderId="255" xfId="0" applyFont="1" applyFill="1" applyBorder="1" applyAlignment="1" applyProtection="1">
      <alignment horizontal="center" vertical="center" shrinkToFit="1"/>
      <protection locked="0"/>
    </xf>
    <xf numFmtId="3" fontId="10" fillId="13" borderId="255" xfId="0" applyNumberFormat="1" applyFont="1" applyFill="1" applyBorder="1" applyAlignment="1" applyProtection="1">
      <alignment horizontal="center" vertical="center" wrapText="1"/>
      <protection locked="0"/>
    </xf>
    <xf numFmtId="174" fontId="17" fillId="13" borderId="255" xfId="0" applyNumberFormat="1" applyFont="1" applyFill="1" applyBorder="1" applyAlignment="1" applyProtection="1">
      <alignment horizontal="center" vertical="center" wrapText="1"/>
      <protection locked="0"/>
    </xf>
    <xf numFmtId="3" fontId="17" fillId="13" borderId="255" xfId="0" applyNumberFormat="1" applyFont="1" applyFill="1" applyBorder="1" applyAlignment="1" applyProtection="1">
      <alignment horizontal="center" vertical="center" wrapText="1"/>
      <protection locked="0"/>
    </xf>
    <xf numFmtId="173" fontId="10" fillId="13" borderId="255" xfId="0" applyNumberFormat="1" applyFont="1" applyFill="1" applyBorder="1" applyAlignment="1" applyProtection="1">
      <alignment horizontal="center" vertical="center" wrapText="1"/>
      <protection locked="0"/>
    </xf>
    <xf numFmtId="3" fontId="10" fillId="13" borderId="256" xfId="1" applyNumberFormat="1" applyFont="1" applyFill="1" applyBorder="1" applyAlignment="1" applyProtection="1">
      <alignment horizontal="center" vertical="center" wrapText="1"/>
      <protection locked="0"/>
    </xf>
    <xf numFmtId="0" fontId="6" fillId="13" borderId="257" xfId="0" applyFont="1" applyFill="1" applyBorder="1" applyAlignment="1" applyProtection="1">
      <alignment horizontal="center" vertical="center" wrapText="1"/>
      <protection locked="0"/>
    </xf>
    <xf numFmtId="0" fontId="25" fillId="13" borderId="250" xfId="0" applyFont="1" applyFill="1" applyBorder="1" applyAlignment="1" applyProtection="1">
      <alignment horizontal="center" vertical="center" shrinkToFit="1"/>
      <protection locked="0"/>
    </xf>
    <xf numFmtId="3" fontId="10" fillId="13" borderId="250" xfId="0" applyNumberFormat="1" applyFont="1" applyFill="1" applyBorder="1" applyAlignment="1" applyProtection="1">
      <alignment horizontal="center" vertical="center" wrapText="1"/>
      <protection locked="0"/>
    </xf>
    <xf numFmtId="174" fontId="17" fillId="13" borderId="250" xfId="0" applyNumberFormat="1" applyFont="1" applyFill="1" applyBorder="1" applyAlignment="1" applyProtection="1">
      <alignment horizontal="center" vertical="center" wrapText="1"/>
      <protection locked="0"/>
    </xf>
    <xf numFmtId="3" fontId="17" fillId="13" borderId="250" xfId="0" applyNumberFormat="1" applyFont="1" applyFill="1" applyBorder="1" applyAlignment="1" applyProtection="1">
      <alignment horizontal="center" vertical="center" wrapText="1"/>
      <protection locked="0"/>
    </xf>
    <xf numFmtId="173" fontId="10" fillId="13" borderId="250" xfId="0" applyNumberFormat="1" applyFont="1" applyFill="1" applyBorder="1" applyAlignment="1" applyProtection="1">
      <alignment horizontal="center" vertical="center" wrapText="1"/>
      <protection locked="0"/>
    </xf>
    <xf numFmtId="3" fontId="10" fillId="13" borderId="251" xfId="1" applyNumberFormat="1" applyFont="1" applyFill="1" applyBorder="1" applyAlignment="1" applyProtection="1">
      <alignment horizontal="center" vertical="center" wrapText="1"/>
      <protection locked="0"/>
    </xf>
    <xf numFmtId="3" fontId="6" fillId="13" borderId="250" xfId="0" applyNumberFormat="1" applyFont="1" applyFill="1" applyBorder="1" applyAlignment="1" applyProtection="1">
      <alignment horizontal="center" vertical="center" wrapText="1"/>
      <protection locked="0"/>
    </xf>
    <xf numFmtId="173" fontId="6" fillId="13" borderId="250" xfId="0" applyNumberFormat="1" applyFont="1" applyFill="1" applyBorder="1" applyAlignment="1" applyProtection="1">
      <alignment horizontal="center" vertical="center" wrapText="1"/>
      <protection locked="0"/>
    </xf>
    <xf numFmtId="3" fontId="6" fillId="13" borderId="251" xfId="1" applyNumberFormat="1" applyFont="1" applyFill="1" applyBorder="1" applyAlignment="1" applyProtection="1">
      <alignment horizontal="center" vertical="center" wrapText="1"/>
      <protection locked="0"/>
    </xf>
    <xf numFmtId="0" fontId="5" fillId="13" borderId="257" xfId="0" applyFont="1" applyFill="1" applyBorder="1" applyAlignment="1" applyProtection="1">
      <alignment horizontal="center" vertical="center" wrapText="1"/>
      <protection locked="0"/>
    </xf>
    <xf numFmtId="0" fontId="10" fillId="13" borderId="257" xfId="0" applyFont="1" applyFill="1" applyBorder="1" applyAlignment="1" applyProtection="1">
      <alignment horizontal="center" vertical="center" wrapText="1"/>
      <protection locked="0"/>
    </xf>
    <xf numFmtId="0" fontId="10" fillId="13" borderId="258" xfId="0" applyFont="1" applyFill="1" applyBorder="1" applyAlignment="1" applyProtection="1">
      <alignment horizontal="center" vertical="center" wrapText="1"/>
      <protection locked="0"/>
    </xf>
    <xf numFmtId="0" fontId="25" fillId="13" borderId="252" xfId="0" applyFont="1" applyFill="1" applyBorder="1" applyAlignment="1" applyProtection="1">
      <alignment horizontal="center" vertical="center" shrinkToFit="1"/>
      <protection locked="0"/>
    </xf>
    <xf numFmtId="3" fontId="10" fillId="13" borderId="252" xfId="0" applyNumberFormat="1" applyFont="1" applyFill="1" applyBorder="1" applyAlignment="1" applyProtection="1">
      <alignment horizontal="center" vertical="center" wrapText="1"/>
      <protection locked="0"/>
    </xf>
    <xf numFmtId="174" fontId="17" fillId="13" borderId="252" xfId="0" applyNumberFormat="1" applyFont="1" applyFill="1" applyBorder="1" applyAlignment="1" applyProtection="1">
      <alignment horizontal="center" vertical="center" wrapText="1"/>
      <protection locked="0"/>
    </xf>
    <xf numFmtId="3" fontId="17" fillId="13" borderId="252" xfId="0" applyNumberFormat="1" applyFont="1" applyFill="1" applyBorder="1" applyAlignment="1" applyProtection="1">
      <alignment horizontal="center" vertical="center" wrapText="1"/>
      <protection locked="0"/>
    </xf>
    <xf numFmtId="173" fontId="10" fillId="13" borderId="252" xfId="0" applyNumberFormat="1" applyFont="1" applyFill="1" applyBorder="1" applyAlignment="1" applyProtection="1">
      <alignment horizontal="center" vertical="center" wrapText="1"/>
      <protection locked="0"/>
    </xf>
    <xf numFmtId="3" fontId="10" fillId="13" borderId="253" xfId="1" applyNumberFormat="1" applyFont="1" applyFill="1" applyBorder="1" applyAlignment="1" applyProtection="1">
      <alignment horizontal="center" vertical="center" wrapText="1"/>
      <protection locked="0"/>
    </xf>
    <xf numFmtId="3" fontId="0" fillId="13" borderId="273" xfId="0" applyNumberFormat="1" applyFill="1" applyBorder="1" applyProtection="1">
      <protection locked="0"/>
    </xf>
    <xf numFmtId="0" fontId="0" fillId="13" borderId="273" xfId="0" applyFill="1" applyBorder="1" applyProtection="1">
      <protection locked="0"/>
    </xf>
    <xf numFmtId="0" fontId="0" fillId="13" borderId="275" xfId="0" applyFill="1" applyBorder="1" applyProtection="1">
      <protection locked="0"/>
    </xf>
    <xf numFmtId="0" fontId="0" fillId="13" borderId="230" xfId="0" applyFill="1" applyBorder="1" applyProtection="1">
      <protection locked="0"/>
    </xf>
    <xf numFmtId="0" fontId="0" fillId="13" borderId="276" xfId="0" applyFill="1" applyBorder="1" applyProtection="1">
      <protection locked="0"/>
    </xf>
    <xf numFmtId="0" fontId="0" fillId="13" borderId="279" xfId="0" applyFill="1" applyBorder="1" applyProtection="1">
      <protection locked="0"/>
    </xf>
    <xf numFmtId="3" fontId="0" fillId="13" borderId="275" xfId="0" applyNumberFormat="1" applyFill="1" applyBorder="1" applyProtection="1">
      <protection locked="0"/>
    </xf>
    <xf numFmtId="0" fontId="36" fillId="0" borderId="0" xfId="0" applyFont="1" applyFill="1" applyBorder="1" applyProtection="1"/>
    <xf numFmtId="0" fontId="36" fillId="13" borderId="0" xfId="0" applyFont="1" applyFill="1" applyProtection="1"/>
    <xf numFmtId="0" fontId="41" fillId="17" borderId="133" xfId="0" applyFont="1" applyFill="1" applyBorder="1" applyProtection="1"/>
    <xf numFmtId="0" fontId="51" fillId="17" borderId="134" xfId="0" applyFont="1" applyFill="1" applyBorder="1" applyAlignment="1" applyProtection="1">
      <alignment vertical="center"/>
    </xf>
    <xf numFmtId="0" fontId="27" fillId="17" borderId="134" xfId="0" applyFont="1" applyFill="1" applyBorder="1" applyProtection="1"/>
    <xf numFmtId="0" fontId="27" fillId="17" borderId="135" xfId="0" applyFont="1" applyFill="1" applyBorder="1" applyProtection="1"/>
    <xf numFmtId="0" fontId="33" fillId="0" borderId="0" xfId="0" applyFont="1" applyProtection="1"/>
    <xf numFmtId="0" fontId="33" fillId="0" borderId="0" xfId="0" applyFont="1" applyFill="1" applyProtection="1"/>
    <xf numFmtId="0" fontId="33" fillId="0" borderId="0" xfId="0" applyFont="1" applyFill="1" applyBorder="1" applyProtection="1"/>
    <xf numFmtId="0" fontId="9" fillId="15" borderId="120" xfId="0" applyFont="1" applyFill="1" applyBorder="1" applyProtection="1"/>
    <xf numFmtId="0" fontId="9" fillId="15" borderId="0" xfId="0" applyFont="1" applyFill="1" applyBorder="1" applyProtection="1"/>
    <xf numFmtId="0" fontId="9" fillId="15" borderId="121" xfId="0" applyFont="1" applyFill="1" applyBorder="1" applyProtection="1"/>
    <xf numFmtId="0" fontId="33" fillId="13" borderId="0" xfId="0" applyFont="1" applyFill="1" applyProtection="1"/>
    <xf numFmtId="0" fontId="17" fillId="15" borderId="0" xfId="0" applyFont="1" applyFill="1" applyBorder="1" applyProtection="1"/>
    <xf numFmtId="0" fontId="56" fillId="13" borderId="0" xfId="0" applyFont="1" applyFill="1" applyProtection="1"/>
    <xf numFmtId="0" fontId="4" fillId="15" borderId="0" xfId="0" applyFont="1" applyFill="1" applyBorder="1" applyAlignment="1" applyProtection="1">
      <alignment horizontal="center" vertical="center" wrapText="1"/>
    </xf>
    <xf numFmtId="0" fontId="4" fillId="15" borderId="0" xfId="0" applyFont="1" applyFill="1" applyBorder="1" applyAlignment="1" applyProtection="1">
      <alignment horizontal="center" wrapText="1"/>
    </xf>
    <xf numFmtId="168" fontId="56" fillId="13" borderId="0" xfId="0" applyNumberFormat="1" applyFont="1" applyFill="1" applyProtection="1"/>
    <xf numFmtId="0" fontId="4" fillId="15" borderId="0" xfId="0" applyFont="1" applyFill="1" applyBorder="1" applyProtection="1"/>
    <xf numFmtId="3" fontId="9" fillId="15" borderId="0" xfId="0" applyNumberFormat="1" applyFont="1" applyFill="1" applyBorder="1" applyProtection="1"/>
    <xf numFmtId="9" fontId="9" fillId="15" borderId="0" xfId="1" applyFont="1" applyFill="1" applyBorder="1" applyProtection="1"/>
    <xf numFmtId="3" fontId="17" fillId="15" borderId="0" xfId="0" applyNumberFormat="1" applyFont="1" applyFill="1" applyBorder="1" applyProtection="1"/>
    <xf numFmtId="9" fontId="17" fillId="15" borderId="0" xfId="1" applyFont="1" applyFill="1" applyBorder="1" applyProtection="1"/>
    <xf numFmtId="0" fontId="9" fillId="15" borderId="122" xfId="0" applyFont="1" applyFill="1" applyBorder="1" applyProtection="1"/>
    <xf numFmtId="0" fontId="9" fillId="15" borderId="123" xfId="0" applyFont="1" applyFill="1" applyBorder="1" applyProtection="1"/>
    <xf numFmtId="0" fontId="9" fillId="15" borderId="124" xfId="0" applyFont="1" applyFill="1" applyBorder="1" applyProtection="1"/>
    <xf numFmtId="0" fontId="33" fillId="0" borderId="39" xfId="0" applyFont="1" applyFill="1" applyBorder="1" applyProtection="1"/>
    <xf numFmtId="0" fontId="62" fillId="0" borderId="39" xfId="0" applyFont="1" applyFill="1" applyBorder="1" applyProtection="1"/>
    <xf numFmtId="173" fontId="56" fillId="13" borderId="0" xfId="0" applyNumberFormat="1" applyFont="1" applyFill="1" applyProtection="1"/>
    <xf numFmtId="0" fontId="62" fillId="0" borderId="0" xfId="0" applyFont="1" applyFill="1" applyBorder="1" applyProtection="1"/>
    <xf numFmtId="176" fontId="56" fillId="13" borderId="0" xfId="0" applyNumberFormat="1" applyFont="1" applyFill="1" applyProtection="1"/>
    <xf numFmtId="0" fontId="41" fillId="17" borderId="136" xfId="0" applyFont="1" applyFill="1" applyBorder="1" applyProtection="1"/>
    <xf numFmtId="0" fontId="51" fillId="17" borderId="137" xfId="0" applyFont="1" applyFill="1" applyBorder="1" applyAlignment="1" applyProtection="1">
      <alignment vertical="center"/>
    </xf>
    <xf numFmtId="0" fontId="27" fillId="17" borderId="137" xfId="0" applyFont="1" applyFill="1" applyBorder="1" applyProtection="1"/>
    <xf numFmtId="0" fontId="27" fillId="17" borderId="138" xfId="0" applyFont="1" applyFill="1" applyBorder="1" applyProtection="1"/>
    <xf numFmtId="0" fontId="9" fillId="15" borderId="125" xfId="0" applyFont="1" applyFill="1" applyBorder="1" applyAlignment="1" applyProtection="1">
      <alignment vertical="center"/>
    </xf>
    <xf numFmtId="1" fontId="25" fillId="15" borderId="126" xfId="0" applyNumberFormat="1" applyFont="1" applyFill="1" applyBorder="1" applyAlignment="1" applyProtection="1">
      <alignment vertical="center" wrapText="1" shrinkToFit="1"/>
    </xf>
    <xf numFmtId="0" fontId="9" fillId="15" borderId="127" xfId="0" applyFont="1" applyFill="1" applyBorder="1" applyProtection="1"/>
    <xf numFmtId="0" fontId="9" fillId="15" borderId="120" xfId="0" applyFont="1" applyFill="1" applyBorder="1" applyAlignment="1" applyProtection="1">
      <alignment vertical="center"/>
    </xf>
    <xf numFmtId="1" fontId="25" fillId="15" borderId="0" xfId="0" applyNumberFormat="1" applyFont="1" applyFill="1" applyBorder="1" applyAlignment="1" applyProtection="1">
      <alignment vertical="center" wrapText="1" shrinkToFit="1"/>
    </xf>
    <xf numFmtId="180" fontId="56" fillId="13" borderId="0" xfId="0" applyNumberFormat="1" applyFont="1" applyFill="1" applyProtection="1"/>
    <xf numFmtId="6" fontId="56" fillId="13" borderId="0" xfId="0" applyNumberFormat="1" applyFont="1" applyFill="1" applyProtection="1"/>
    <xf numFmtId="9" fontId="56" fillId="13" borderId="0" xfId="0" applyNumberFormat="1" applyFont="1" applyFill="1" applyProtection="1"/>
    <xf numFmtId="0" fontId="10" fillId="15" borderId="120" xfId="0" applyFont="1" applyFill="1" applyBorder="1" applyProtection="1"/>
    <xf numFmtId="0" fontId="9" fillId="15" borderId="125" xfId="0" applyFont="1" applyFill="1" applyBorder="1" applyProtection="1"/>
    <xf numFmtId="0" fontId="9" fillId="15" borderId="126" xfId="0" applyFont="1" applyFill="1" applyBorder="1" applyProtection="1"/>
    <xf numFmtId="0" fontId="10" fillId="15" borderId="128" xfId="0" applyFont="1" applyFill="1" applyBorder="1" applyProtection="1"/>
    <xf numFmtId="0" fontId="9" fillId="15" borderId="129" xfId="0" applyFont="1" applyFill="1" applyBorder="1" applyProtection="1"/>
    <xf numFmtId="10" fontId="9" fillId="0" borderId="116" xfId="0" applyNumberFormat="1" applyFont="1" applyFill="1" applyBorder="1" applyAlignment="1" applyProtection="1">
      <alignment horizontal="center" vertical="center"/>
    </xf>
    <xf numFmtId="0" fontId="33" fillId="15" borderId="0" xfId="0" applyFont="1" applyFill="1" applyBorder="1" applyProtection="1"/>
    <xf numFmtId="0" fontId="43" fillId="13" borderId="0" xfId="0" applyFont="1" applyFill="1" applyProtection="1"/>
    <xf numFmtId="0" fontId="35" fillId="13" borderId="0" xfId="0" applyFont="1" applyFill="1" applyProtection="1"/>
    <xf numFmtId="0" fontId="10" fillId="15" borderId="130" xfId="0" applyFont="1" applyFill="1" applyBorder="1" applyProtection="1"/>
    <xf numFmtId="1" fontId="25" fillId="15" borderId="131" xfId="0" applyNumberFormat="1" applyFont="1" applyFill="1" applyBorder="1" applyAlignment="1" applyProtection="1">
      <alignment vertical="center" wrapText="1" shrinkToFit="1"/>
    </xf>
    <xf numFmtId="0" fontId="9" fillId="15" borderId="132" xfId="0" applyFont="1" applyFill="1" applyBorder="1" applyProtection="1"/>
    <xf numFmtId="0" fontId="10" fillId="15" borderId="136" xfId="0" applyFont="1" applyFill="1" applyBorder="1" applyProtection="1"/>
    <xf numFmtId="1" fontId="25" fillId="15" borderId="137" xfId="0" applyNumberFormat="1" applyFont="1" applyFill="1" applyBorder="1" applyAlignment="1" applyProtection="1">
      <alignment vertical="center" wrapText="1" shrinkToFit="1"/>
    </xf>
    <xf numFmtId="0" fontId="9" fillId="15" borderId="138" xfId="0" applyFont="1" applyFill="1" applyBorder="1" applyProtection="1"/>
    <xf numFmtId="1" fontId="25" fillId="13" borderId="0" xfId="0" applyNumberFormat="1" applyFont="1" applyFill="1" applyBorder="1" applyAlignment="1" applyProtection="1">
      <alignment vertical="center" wrapText="1" shrinkToFit="1"/>
    </xf>
    <xf numFmtId="1" fontId="25" fillId="13" borderId="0" xfId="0" applyNumberFormat="1" applyFont="1" applyFill="1" applyBorder="1" applyAlignment="1" applyProtection="1">
      <alignment vertical="center"/>
    </xf>
    <xf numFmtId="0" fontId="32" fillId="15" borderId="128" xfId="0" applyFont="1" applyFill="1" applyBorder="1" applyProtection="1"/>
    <xf numFmtId="1" fontId="25" fillId="13" borderId="0" xfId="0" applyNumberFormat="1" applyFont="1" applyFill="1" applyBorder="1" applyAlignment="1" applyProtection="1">
      <alignment vertical="center" shrinkToFit="1"/>
    </xf>
    <xf numFmtId="0" fontId="64" fillId="31" borderId="0" xfId="0" applyFont="1" applyFill="1" applyAlignment="1">
      <alignment vertical="center"/>
    </xf>
    <xf numFmtId="0" fontId="0" fillId="15" borderId="285" xfId="0" applyFill="1" applyBorder="1"/>
    <xf numFmtId="0" fontId="0" fillId="15" borderId="47" xfId="0" applyFill="1" applyBorder="1"/>
    <xf numFmtId="0" fontId="0" fillId="15" borderId="48" xfId="0" applyFill="1" applyBorder="1"/>
    <xf numFmtId="0" fontId="0" fillId="15" borderId="36" xfId="0" applyFill="1" applyBorder="1"/>
    <xf numFmtId="0" fontId="0" fillId="15" borderId="37" xfId="0" applyFill="1" applyBorder="1"/>
    <xf numFmtId="0" fontId="0" fillId="15" borderId="286" xfId="0" applyFill="1" applyBorder="1"/>
    <xf numFmtId="0" fontId="11" fillId="15" borderId="38" xfId="0" applyFont="1" applyFill="1" applyBorder="1"/>
    <xf numFmtId="0" fontId="11" fillId="15" borderId="287" xfId="0" applyFont="1" applyFill="1" applyBorder="1"/>
    <xf numFmtId="0" fontId="11" fillId="15" borderId="288" xfId="0" applyFont="1" applyFill="1" applyBorder="1"/>
    <xf numFmtId="0" fontId="11" fillId="15" borderId="53" xfId="0" applyFont="1" applyFill="1" applyBorder="1"/>
    <xf numFmtId="0" fontId="0" fillId="15" borderId="288" xfId="0" applyFill="1" applyBorder="1"/>
    <xf numFmtId="0" fontId="0" fillId="15" borderId="53" xfId="0" applyFill="1" applyBorder="1"/>
    <xf numFmtId="0" fontId="66" fillId="15" borderId="0" xfId="0" applyFont="1" applyFill="1" applyBorder="1"/>
    <xf numFmtId="0" fontId="15" fillId="0" borderId="0" xfId="0" applyFont="1" applyBorder="1"/>
    <xf numFmtId="0" fontId="2" fillId="0" borderId="0" xfId="0" applyFont="1"/>
    <xf numFmtId="0" fontId="2" fillId="0" borderId="0" xfId="0" applyFont="1" applyAlignment="1">
      <alignment horizontal="left"/>
    </xf>
    <xf numFmtId="0" fontId="15" fillId="0" borderId="290" xfId="0" applyFont="1" applyBorder="1"/>
    <xf numFmtId="0" fontId="15" fillId="0" borderId="290" xfId="0" applyFont="1" applyBorder="1" applyAlignment="1">
      <alignment horizontal="right"/>
    </xf>
    <xf numFmtId="0" fontId="2" fillId="0" borderId="290" xfId="0" applyFont="1" applyBorder="1"/>
    <xf numFmtId="0" fontId="14" fillId="0" borderId="290" xfId="0" applyFont="1" applyBorder="1" applyAlignment="1">
      <alignment horizontal="right"/>
    </xf>
    <xf numFmtId="0" fontId="15" fillId="2" borderId="290" xfId="0" applyFont="1" applyFill="1" applyBorder="1"/>
    <xf numFmtId="164" fontId="15" fillId="2" borderId="290" xfId="0" applyNumberFormat="1" applyFont="1" applyFill="1" applyBorder="1"/>
    <xf numFmtId="0" fontId="46" fillId="0" borderId="289" xfId="0" applyNumberFormat="1" applyFont="1" applyFill="1" applyBorder="1" applyAlignment="1">
      <alignment horizontal="center"/>
    </xf>
    <xf numFmtId="0" fontId="69" fillId="0" borderId="290" xfId="0" applyFont="1" applyFill="1" applyBorder="1" applyAlignment="1">
      <alignment horizontal="center" wrapText="1"/>
    </xf>
    <xf numFmtId="181" fontId="68" fillId="18" borderId="289" xfId="0" applyNumberFormat="1" applyFont="1" applyFill="1" applyBorder="1" applyAlignment="1"/>
    <xf numFmtId="181" fontId="68" fillId="18" borderId="291" xfId="0" applyNumberFormat="1" applyFont="1" applyFill="1" applyBorder="1" applyAlignment="1"/>
    <xf numFmtId="180" fontId="68" fillId="18" borderId="289" xfId="0" applyNumberFormat="1" applyFont="1" applyFill="1" applyBorder="1" applyAlignment="1"/>
    <xf numFmtId="4" fontId="68" fillId="18" borderId="289" xfId="0" applyNumberFormat="1" applyFont="1" applyFill="1" applyBorder="1" applyAlignment="1"/>
    <xf numFmtId="0" fontId="15" fillId="18" borderId="0" xfId="0" applyFont="1" applyFill="1"/>
    <xf numFmtId="165" fontId="15" fillId="2" borderId="290" xfId="0" applyNumberFormat="1" applyFont="1" applyFill="1" applyBorder="1"/>
    <xf numFmtId="0" fontId="47" fillId="5" borderId="0" xfId="0" applyFont="1" applyFill="1"/>
    <xf numFmtId="0" fontId="65" fillId="5" borderId="0" xfId="0" applyFont="1" applyFill="1"/>
    <xf numFmtId="0" fontId="65" fillId="5" borderId="0" xfId="0" applyFont="1" applyFill="1" applyAlignment="1">
      <alignment horizontal="right"/>
    </xf>
    <xf numFmtId="0" fontId="70" fillId="0" borderId="0" xfId="0" applyFont="1"/>
    <xf numFmtId="0" fontId="33" fillId="0" borderId="290" xfId="0" applyFont="1" applyBorder="1" applyAlignment="1">
      <alignment horizontal="left" wrapText="1"/>
    </xf>
    <xf numFmtId="180" fontId="71" fillId="18" borderId="289" xfId="0" applyNumberFormat="1" applyFont="1" applyFill="1" applyBorder="1" applyAlignment="1"/>
    <xf numFmtId="4" fontId="71" fillId="18" borderId="289" xfId="0" applyNumberFormat="1" applyFont="1" applyFill="1" applyBorder="1" applyAlignment="1"/>
    <xf numFmtId="181" fontId="71" fillId="18" borderId="289" xfId="0" applyNumberFormat="1" applyFont="1" applyFill="1" applyBorder="1" applyAlignment="1"/>
    <xf numFmtId="0" fontId="17" fillId="18" borderId="290" xfId="0" applyFont="1" applyFill="1" applyBorder="1"/>
    <xf numFmtId="0" fontId="17" fillId="18" borderId="290" xfId="0" applyFont="1" applyFill="1" applyBorder="1" applyAlignment="1">
      <alignment horizontal="right"/>
    </xf>
    <xf numFmtId="164" fontId="17" fillId="2" borderId="290" xfId="0" applyNumberFormat="1" applyFont="1" applyFill="1" applyBorder="1"/>
    <xf numFmtId="0" fontId="17" fillId="2" borderId="290" xfId="0" applyFont="1" applyFill="1" applyBorder="1"/>
    <xf numFmtId="165" fontId="15" fillId="0" borderId="0" xfId="0" applyNumberFormat="1" applyFont="1"/>
    <xf numFmtId="166" fontId="15" fillId="0" borderId="0" xfId="1" applyNumberFormat="1" applyFont="1" applyFill="1" applyBorder="1"/>
    <xf numFmtId="0" fontId="33" fillId="0" borderId="290" xfId="0" applyFont="1" applyBorder="1"/>
    <xf numFmtId="2" fontId="33" fillId="2" borderId="290" xfId="0" applyNumberFormat="1" applyFont="1" applyFill="1" applyBorder="1"/>
    <xf numFmtId="0" fontId="33" fillId="6" borderId="290" xfId="0" applyFont="1" applyFill="1" applyBorder="1"/>
    <xf numFmtId="0" fontId="33" fillId="7" borderId="290" xfId="0" applyFont="1" applyFill="1" applyBorder="1"/>
    <xf numFmtId="0" fontId="33" fillId="8" borderId="290" xfId="0" applyFont="1" applyFill="1" applyBorder="1"/>
    <xf numFmtId="0" fontId="33" fillId="9" borderId="290" xfId="0" applyFont="1" applyFill="1" applyBorder="1"/>
    <xf numFmtId="0" fontId="33" fillId="10" borderId="290" xfId="0" applyFont="1" applyFill="1" applyBorder="1"/>
    <xf numFmtId="0" fontId="33" fillId="0" borderId="290" xfId="0" applyFont="1" applyFill="1" applyBorder="1"/>
    <xf numFmtId="0" fontId="19" fillId="0" borderId="290" xfId="0" applyFont="1" applyFill="1" applyBorder="1" applyAlignment="1">
      <alignment horizontal="center"/>
    </xf>
    <xf numFmtId="0" fontId="48" fillId="0" borderId="290" xfId="0" applyFont="1" applyFill="1" applyBorder="1" applyAlignment="1">
      <alignment horizontal="center"/>
    </xf>
    <xf numFmtId="0" fontId="33" fillId="18" borderId="290" xfId="0" applyFont="1" applyFill="1" applyBorder="1"/>
    <xf numFmtId="2" fontId="33" fillId="18" borderId="290" xfId="0" applyNumberFormat="1" applyFont="1" applyFill="1" applyBorder="1"/>
    <xf numFmtId="0" fontId="33" fillId="17" borderId="290" xfId="0" applyFont="1" applyFill="1" applyBorder="1"/>
    <xf numFmtId="0" fontId="35" fillId="17" borderId="290" xfId="0" applyFont="1" applyFill="1" applyBorder="1"/>
    <xf numFmtId="173" fontId="72" fillId="2" borderId="290" xfId="0" applyNumberFormat="1" applyFont="1" applyFill="1" applyBorder="1" applyAlignment="1">
      <alignment horizontal="right" wrapText="1"/>
    </xf>
    <xf numFmtId="173" fontId="33" fillId="2" borderId="290" xfId="0" applyNumberFormat="1" applyFont="1" applyFill="1" applyBorder="1"/>
    <xf numFmtId="0" fontId="35" fillId="6" borderId="290" xfId="0" applyFont="1" applyFill="1" applyBorder="1"/>
    <xf numFmtId="0" fontId="35" fillId="7" borderId="290" xfId="0" applyFont="1" applyFill="1" applyBorder="1"/>
    <xf numFmtId="0" fontId="35" fillId="8" borderId="290" xfId="0" applyFont="1" applyFill="1" applyBorder="1"/>
    <xf numFmtId="182" fontId="33" fillId="2" borderId="290" xfId="0" applyNumberFormat="1" applyFont="1" applyFill="1" applyBorder="1"/>
    <xf numFmtId="0" fontId="35" fillId="9" borderId="290" xfId="0" applyFont="1" applyFill="1" applyBorder="1"/>
    <xf numFmtId="0" fontId="35" fillId="10" borderId="290" xfId="0" applyFont="1" applyFill="1" applyBorder="1"/>
    <xf numFmtId="0" fontId="38" fillId="0" borderId="0" xfId="0" applyFont="1"/>
    <xf numFmtId="0" fontId="38" fillId="0" borderId="0" xfId="0" applyFont="1" applyFill="1"/>
    <xf numFmtId="0" fontId="73" fillId="0" borderId="20" xfId="0" applyFont="1" applyBorder="1" applyAlignment="1">
      <alignment horizontal="center" vertical="center"/>
    </xf>
    <xf numFmtId="0" fontId="73" fillId="0" borderId="0" xfId="0" applyFont="1" applyBorder="1" applyAlignment="1">
      <alignment horizontal="center" vertical="center"/>
    </xf>
    <xf numFmtId="2" fontId="33" fillId="0" borderId="0" xfId="0" applyNumberFormat="1" applyFont="1" applyBorder="1" applyAlignment="1">
      <alignment horizontal="center" vertical="center"/>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165" fontId="33" fillId="0" borderId="0" xfId="0" applyNumberFormat="1" applyFont="1" applyFill="1" applyBorder="1" applyAlignment="1">
      <alignment horizontal="center" vertical="center"/>
    </xf>
    <xf numFmtId="0" fontId="33" fillId="0" borderId="34" xfId="0" applyFont="1" applyBorder="1"/>
    <xf numFmtId="0" fontId="33" fillId="0" borderId="1" xfId="0" applyFont="1" applyBorder="1"/>
    <xf numFmtId="0" fontId="33" fillId="0" borderId="34" xfId="0" applyFont="1" applyFill="1" applyBorder="1" applyAlignment="1">
      <alignment horizontal="left"/>
    </xf>
    <xf numFmtId="0" fontId="33" fillId="0" borderId="0" xfId="0" applyFont="1" applyFill="1" applyBorder="1" applyAlignment="1">
      <alignment horizontal="left"/>
    </xf>
    <xf numFmtId="0" fontId="33" fillId="0" borderId="1" xfId="0" applyFont="1" applyFill="1" applyBorder="1" applyAlignment="1">
      <alignment horizontal="left"/>
    </xf>
    <xf numFmtId="0" fontId="33" fillId="0" borderId="1" xfId="0" applyFont="1" applyFill="1" applyBorder="1" applyAlignment="1">
      <alignment horizontal="center"/>
    </xf>
    <xf numFmtId="0" fontId="33" fillId="0" borderId="0" xfId="0" applyFont="1" applyBorder="1" applyAlignment="1">
      <alignment horizontal="center"/>
    </xf>
    <xf numFmtId="0" fontId="33" fillId="0" borderId="1" xfId="0" applyFont="1" applyBorder="1" applyAlignment="1">
      <alignment horizontal="center"/>
    </xf>
    <xf numFmtId="179" fontId="33" fillId="0" borderId="0" xfId="0" applyNumberFormat="1" applyFont="1" applyFill="1" applyBorder="1" applyAlignment="1">
      <alignment horizontal="center" vertical="center"/>
    </xf>
    <xf numFmtId="0" fontId="33" fillId="16" borderId="16" xfId="0" applyFont="1" applyFill="1" applyBorder="1" applyAlignment="1">
      <alignment horizontal="center" vertical="center"/>
    </xf>
    <xf numFmtId="0" fontId="33" fillId="0" borderId="28" xfId="0" applyFont="1" applyBorder="1"/>
    <xf numFmtId="0" fontId="33" fillId="0" borderId="32" xfId="0" applyFont="1" applyBorder="1"/>
    <xf numFmtId="0" fontId="33" fillId="3" borderId="34" xfId="0" applyFont="1" applyFill="1" applyBorder="1"/>
    <xf numFmtId="0" fontId="33" fillId="18" borderId="4" xfId="0" applyFont="1" applyFill="1" applyBorder="1"/>
    <xf numFmtId="0" fontId="33" fillId="3" borderId="0" xfId="0" applyFont="1" applyFill="1" applyBorder="1"/>
    <xf numFmtId="0" fontId="33" fillId="3" borderId="1" xfId="0" applyFont="1" applyFill="1" applyBorder="1"/>
    <xf numFmtId="0" fontId="33" fillId="18" borderId="290" xfId="0" applyFont="1" applyFill="1" applyBorder="1" applyAlignment="1">
      <alignment horizontal="center" vertical="center"/>
    </xf>
    <xf numFmtId="0" fontId="33" fillId="18" borderId="0" xfId="0" applyFont="1" applyFill="1" applyBorder="1" applyAlignment="1">
      <alignment horizontal="center"/>
    </xf>
    <xf numFmtId="0" fontId="19" fillId="18" borderId="290" xfId="0" applyFont="1" applyFill="1" applyBorder="1" applyAlignment="1">
      <alignment horizontal="center"/>
    </xf>
    <xf numFmtId="0" fontId="2" fillId="0" borderId="0" xfId="0" applyFont="1" applyFill="1" applyAlignment="1">
      <alignment horizontal="center" wrapText="1"/>
    </xf>
    <xf numFmtId="1" fontId="33" fillId="2" borderId="290" xfId="0" applyNumberFormat="1" applyFont="1" applyFill="1" applyBorder="1"/>
    <xf numFmtId="165" fontId="28" fillId="11" borderId="280" xfId="0" applyNumberFormat="1" applyFont="1" applyFill="1" applyBorder="1" applyAlignment="1">
      <alignment horizontal="center" vertical="center" wrapText="1"/>
    </xf>
    <xf numFmtId="0" fontId="33" fillId="0" borderId="290" xfId="0" applyFont="1" applyFill="1" applyBorder="1" applyAlignment="1">
      <alignment horizontal="left"/>
    </xf>
    <xf numFmtId="0" fontId="38" fillId="0" borderId="0" xfId="0" applyFont="1" applyFill="1" applyBorder="1"/>
    <xf numFmtId="0" fontId="19" fillId="0" borderId="0" xfId="0" applyFont="1" applyFill="1" applyBorder="1" applyAlignment="1">
      <alignment vertical="center" wrapText="1"/>
    </xf>
    <xf numFmtId="9" fontId="33" fillId="0" borderId="290" xfId="0" applyNumberFormat="1" applyFont="1" applyFill="1" applyBorder="1" applyAlignment="1">
      <alignment horizontal="left"/>
    </xf>
    <xf numFmtId="9" fontId="33" fillId="0" borderId="290" xfId="1" applyFont="1" applyFill="1" applyBorder="1" applyAlignment="1">
      <alignment horizontal="left"/>
    </xf>
    <xf numFmtId="165" fontId="33" fillId="2" borderId="290" xfId="0" applyNumberFormat="1" applyFont="1" applyFill="1" applyBorder="1"/>
    <xf numFmtId="0" fontId="2" fillId="0" borderId="290" xfId="0" applyFont="1" applyBorder="1" applyAlignment="1">
      <alignment horizontal="right"/>
    </xf>
    <xf numFmtId="173" fontId="74" fillId="28" borderId="232" xfId="0" applyNumberFormat="1" applyFont="1" applyFill="1" applyBorder="1" applyAlignment="1">
      <alignment horizontal="center" vertical="center" wrapText="1" shrinkToFit="1"/>
    </xf>
    <xf numFmtId="3" fontId="74" fillId="22" borderId="233" xfId="0" applyNumberFormat="1" applyFont="1" applyFill="1" applyBorder="1" applyAlignment="1">
      <alignment horizontal="center" vertical="center" wrapText="1" shrinkToFit="1"/>
    </xf>
    <xf numFmtId="42" fontId="74" fillId="22" borderId="234" xfId="4" applyNumberFormat="1" applyFont="1" applyFill="1" applyBorder="1" applyAlignment="1">
      <alignment horizontal="center" vertical="center" wrapText="1" shrinkToFit="1"/>
    </xf>
    <xf numFmtId="174" fontId="74" fillId="22" borderId="235" xfId="0" applyNumberFormat="1" applyFont="1" applyFill="1" applyBorder="1" applyAlignment="1">
      <alignment horizontal="center" vertical="center" wrapText="1" shrinkToFit="1"/>
    </xf>
    <xf numFmtId="165" fontId="74" fillId="26" borderId="236" xfId="0" applyNumberFormat="1" applyFont="1" applyFill="1" applyBorder="1" applyAlignment="1">
      <alignment horizontal="center" vertical="center" shrinkToFit="1"/>
    </xf>
    <xf numFmtId="6" fontId="74" fillId="26" borderId="237" xfId="0" applyNumberFormat="1" applyFont="1" applyFill="1" applyBorder="1" applyAlignment="1">
      <alignment horizontal="center" vertical="center" shrinkToFit="1"/>
    </xf>
    <xf numFmtId="9" fontId="74" fillId="26" borderId="238" xfId="0" applyNumberFormat="1" applyFont="1" applyFill="1" applyBorder="1" applyAlignment="1">
      <alignment horizontal="center" vertical="center" shrinkToFit="1"/>
    </xf>
    <xf numFmtId="9" fontId="74" fillId="26" borderId="239" xfId="0" applyNumberFormat="1" applyFont="1" applyFill="1" applyBorder="1" applyAlignment="1">
      <alignment horizontal="center" vertical="center" shrinkToFit="1"/>
    </xf>
    <xf numFmtId="173" fontId="74" fillId="28" borderId="192" xfId="0" applyNumberFormat="1" applyFont="1" applyFill="1" applyBorder="1" applyAlignment="1">
      <alignment horizontal="center" vertical="center" wrapText="1" shrinkToFit="1"/>
    </xf>
    <xf numFmtId="3" fontId="74" fillId="22" borderId="193" xfId="0" applyNumberFormat="1" applyFont="1" applyFill="1" applyBorder="1" applyAlignment="1">
      <alignment horizontal="center" vertical="center" wrapText="1" shrinkToFit="1"/>
    </xf>
    <xf numFmtId="42" fontId="74" fillId="22" borderId="240" xfId="4" applyNumberFormat="1" applyFont="1" applyFill="1" applyBorder="1" applyAlignment="1">
      <alignment horizontal="center" vertical="center" wrapText="1" shrinkToFit="1"/>
    </xf>
    <xf numFmtId="174" fontId="74" fillId="22" borderId="195" xfId="0" applyNumberFormat="1" applyFont="1" applyFill="1" applyBorder="1" applyAlignment="1">
      <alignment horizontal="center" vertical="center" wrapText="1" shrinkToFit="1"/>
    </xf>
    <xf numFmtId="165" fontId="74" fillId="26" borderId="198" xfId="0" applyNumberFormat="1" applyFont="1" applyFill="1" applyBorder="1" applyAlignment="1">
      <alignment horizontal="center" vertical="center" shrinkToFit="1"/>
    </xf>
    <xf numFmtId="6" fontId="74" fillId="26" borderId="199" xfId="0" applyNumberFormat="1" applyFont="1" applyFill="1" applyBorder="1" applyAlignment="1">
      <alignment horizontal="center" vertical="center" shrinkToFit="1"/>
    </xf>
    <xf numFmtId="9" fontId="74" fillId="26" borderId="200" xfId="0" applyNumberFormat="1" applyFont="1" applyFill="1" applyBorder="1" applyAlignment="1">
      <alignment horizontal="center" vertical="center" shrinkToFit="1"/>
    </xf>
    <xf numFmtId="9" fontId="74" fillId="26" borderId="201" xfId="0" applyNumberFormat="1" applyFont="1" applyFill="1" applyBorder="1" applyAlignment="1">
      <alignment horizontal="center" vertical="center" shrinkToFit="1"/>
    </xf>
    <xf numFmtId="173" fontId="74" fillId="28" borderId="242" xfId="0" applyNumberFormat="1" applyFont="1" applyFill="1" applyBorder="1" applyAlignment="1">
      <alignment horizontal="center" vertical="center" wrapText="1" shrinkToFit="1"/>
    </xf>
    <xf numFmtId="3" fontId="74" fillId="22" borderId="243" xfId="0" applyNumberFormat="1" applyFont="1" applyFill="1" applyBorder="1" applyAlignment="1">
      <alignment horizontal="center" vertical="center" wrapText="1" shrinkToFit="1"/>
    </xf>
    <xf numFmtId="42" fontId="74" fillId="22" borderId="244" xfId="4" applyNumberFormat="1" applyFont="1" applyFill="1" applyBorder="1" applyAlignment="1">
      <alignment horizontal="center" vertical="center" wrapText="1" shrinkToFit="1"/>
    </xf>
    <xf numFmtId="174" fontId="74" fillId="22" borderId="245" xfId="0" applyNumberFormat="1" applyFont="1" applyFill="1" applyBorder="1" applyAlignment="1">
      <alignment horizontal="center" vertical="center" wrapText="1" shrinkToFit="1"/>
    </xf>
    <xf numFmtId="165" fontId="74" fillId="26" borderId="246" xfId="0" applyNumberFormat="1" applyFont="1" applyFill="1" applyBorder="1" applyAlignment="1">
      <alignment horizontal="center" vertical="center" shrinkToFit="1"/>
    </xf>
    <xf numFmtId="6" fontId="74" fillId="26" borderId="247" xfId="0" applyNumberFormat="1" applyFont="1" applyFill="1" applyBorder="1" applyAlignment="1">
      <alignment horizontal="center" vertical="center" shrinkToFit="1"/>
    </xf>
    <xf numFmtId="9" fontId="74" fillId="26" borderId="248" xfId="0" applyNumberFormat="1" applyFont="1" applyFill="1" applyBorder="1" applyAlignment="1">
      <alignment horizontal="center" vertical="center" shrinkToFit="1"/>
    </xf>
    <xf numFmtId="9" fontId="74" fillId="26" borderId="249" xfId="0" applyNumberFormat="1" applyFont="1" applyFill="1" applyBorder="1" applyAlignment="1">
      <alignment horizontal="center" vertical="center" shrinkToFit="1"/>
    </xf>
    <xf numFmtId="0" fontId="3" fillId="15" borderId="0" xfId="0" applyFont="1" applyFill="1" applyBorder="1" applyAlignment="1">
      <alignment horizontal="left" vertical="center" wrapText="1"/>
    </xf>
    <xf numFmtId="0" fontId="6" fillId="15" borderId="0" xfId="0" applyFont="1" applyFill="1" applyBorder="1" applyAlignment="1">
      <alignment horizontal="left" vertical="center" wrapText="1"/>
    </xf>
    <xf numFmtId="0" fontId="3" fillId="13" borderId="230" xfId="0" applyFont="1" applyFill="1" applyBorder="1" applyAlignment="1" applyProtection="1">
      <alignment horizontal="center"/>
      <protection locked="0"/>
    </xf>
    <xf numFmtId="0" fontId="5" fillId="13" borderId="41" xfId="0" applyFont="1" applyFill="1" applyBorder="1" applyAlignment="1" applyProtection="1">
      <alignment horizontal="center"/>
      <protection locked="0"/>
    </xf>
    <xf numFmtId="14" fontId="3" fillId="13" borderId="230" xfId="0" applyNumberFormat="1" applyFont="1" applyFill="1" applyBorder="1" applyAlignment="1" applyProtection="1">
      <alignment horizontal="center"/>
      <protection locked="0"/>
    </xf>
    <xf numFmtId="14" fontId="5" fillId="13" borderId="41" xfId="0" applyNumberFormat="1" applyFont="1" applyFill="1" applyBorder="1" applyAlignment="1" applyProtection="1">
      <alignment horizontal="center"/>
      <protection locked="0"/>
    </xf>
    <xf numFmtId="0" fontId="17" fillId="11" borderId="153" xfId="0" applyFont="1" applyFill="1" applyBorder="1" applyAlignment="1">
      <alignment horizontal="center"/>
    </xf>
    <xf numFmtId="0" fontId="17" fillId="11" borderId="152" xfId="0" applyFont="1" applyFill="1" applyBorder="1" applyAlignment="1">
      <alignment horizontal="center"/>
    </xf>
    <xf numFmtId="0" fontId="57" fillId="14" borderId="165" xfId="0" applyFont="1" applyFill="1" applyBorder="1" applyAlignment="1">
      <alignment horizontal="center"/>
    </xf>
    <xf numFmtId="0" fontId="57" fillId="14" borderId="166" xfId="0" applyFont="1" applyFill="1" applyBorder="1" applyAlignment="1">
      <alignment horizontal="center"/>
    </xf>
    <xf numFmtId="0" fontId="57" fillId="14" borderId="167" xfId="0" applyFont="1" applyFill="1" applyBorder="1" applyAlignment="1">
      <alignment horizontal="center"/>
    </xf>
    <xf numFmtId="0" fontId="10" fillId="11" borderId="202" xfId="0" applyFont="1" applyFill="1" applyBorder="1" applyAlignment="1">
      <alignment horizontal="center" vertical="center" wrapText="1"/>
    </xf>
    <xf numFmtId="0" fontId="10" fillId="11" borderId="203" xfId="0" applyFont="1" applyFill="1" applyBorder="1" applyAlignment="1">
      <alignment horizontal="center" vertical="center" wrapText="1"/>
    </xf>
    <xf numFmtId="0" fontId="46" fillId="30" borderId="0" xfId="0" applyFont="1" applyFill="1" applyBorder="1" applyAlignment="1" applyProtection="1">
      <alignment horizontal="center" vertical="center" wrapText="1"/>
    </xf>
    <xf numFmtId="0" fontId="46" fillId="30" borderId="155" xfId="0" applyFont="1" applyFill="1" applyBorder="1" applyAlignment="1" applyProtection="1">
      <alignment horizontal="center" vertical="center" wrapText="1"/>
    </xf>
    <xf numFmtId="0" fontId="17" fillId="11" borderId="226" xfId="0" applyFont="1" applyFill="1" applyBorder="1" applyAlignment="1">
      <alignment horizontal="center"/>
    </xf>
    <xf numFmtId="0" fontId="17" fillId="11" borderId="227" xfId="0" applyFont="1" applyFill="1" applyBorder="1" applyAlignment="1">
      <alignment horizontal="center"/>
    </xf>
    <xf numFmtId="0" fontId="17" fillId="11" borderId="228" xfId="0" applyFont="1" applyFill="1" applyBorder="1" applyAlignment="1">
      <alignment horizontal="center"/>
    </xf>
    <xf numFmtId="0" fontId="17" fillId="11" borderId="229" xfId="0" applyFont="1" applyFill="1" applyBorder="1" applyAlignment="1">
      <alignment horizontal="center"/>
    </xf>
    <xf numFmtId="0" fontId="38" fillId="8" borderId="0" xfId="0" applyFont="1" applyFill="1" applyBorder="1" applyAlignment="1">
      <alignment horizontal="center" vertical="center"/>
    </xf>
    <xf numFmtId="0" fontId="38" fillId="8" borderId="90" xfId="0" applyFont="1" applyFill="1" applyBorder="1" applyAlignment="1">
      <alignment horizontal="center" vertical="center"/>
    </xf>
    <xf numFmtId="0" fontId="19" fillId="8" borderId="154" xfId="0" applyFont="1" applyFill="1" applyBorder="1" applyAlignment="1">
      <alignment horizontal="center" vertical="center" wrapText="1"/>
    </xf>
    <xf numFmtId="0" fontId="19" fillId="8" borderId="139" xfId="0" applyFont="1" applyFill="1" applyBorder="1" applyAlignment="1">
      <alignment horizontal="center" vertical="center" wrapText="1"/>
    </xf>
    <xf numFmtId="0" fontId="10" fillId="11" borderId="180" xfId="0" applyFont="1" applyFill="1" applyBorder="1" applyAlignment="1">
      <alignment horizontal="center" vertical="center" wrapText="1"/>
    </xf>
    <xf numFmtId="0" fontId="10" fillId="11" borderId="181" xfId="0" applyFont="1" applyFill="1" applyBorder="1" applyAlignment="1">
      <alignment horizontal="center" vertical="center" wrapText="1"/>
    </xf>
    <xf numFmtId="0" fontId="10" fillId="11" borderId="191" xfId="0" applyFont="1" applyFill="1" applyBorder="1" applyAlignment="1">
      <alignment horizontal="center" vertical="center" wrapText="1"/>
    </xf>
    <xf numFmtId="0" fontId="10" fillId="11" borderId="192" xfId="0" applyFont="1" applyFill="1" applyBorder="1" applyAlignment="1">
      <alignment horizontal="center" vertical="center" wrapText="1"/>
    </xf>
    <xf numFmtId="0" fontId="17" fillId="11" borderId="191" xfId="0" applyFont="1" applyFill="1" applyBorder="1" applyAlignment="1">
      <alignment horizontal="center" vertical="center"/>
    </xf>
    <xf numFmtId="0" fontId="17" fillId="11" borderId="218" xfId="0" applyFont="1" applyFill="1" applyBorder="1" applyAlignment="1">
      <alignment horizontal="center" vertical="center"/>
    </xf>
    <xf numFmtId="0" fontId="17" fillId="11" borderId="221" xfId="0" applyFont="1" applyFill="1" applyBorder="1" applyAlignment="1">
      <alignment horizontal="center" vertical="center"/>
    </xf>
    <xf numFmtId="0" fontId="17" fillId="11" borderId="222" xfId="0" applyFont="1" applyFill="1" applyBorder="1" applyAlignment="1">
      <alignment horizontal="center" vertical="center"/>
    </xf>
    <xf numFmtId="0" fontId="47" fillId="20" borderId="0" xfId="0" applyFont="1" applyFill="1" applyBorder="1" applyAlignment="1">
      <alignment horizontal="center" vertical="center" wrapText="1"/>
    </xf>
    <xf numFmtId="0" fontId="47" fillId="20" borderId="90" xfId="0" applyFont="1" applyFill="1" applyBorder="1" applyAlignment="1">
      <alignment horizontal="center" vertical="center" wrapText="1"/>
    </xf>
    <xf numFmtId="0" fontId="17" fillId="8" borderId="82" xfId="0" applyFont="1" applyFill="1" applyBorder="1" applyAlignment="1">
      <alignment horizontal="center" vertical="center" wrapText="1"/>
    </xf>
    <xf numFmtId="0" fontId="17" fillId="8" borderId="98" xfId="0" applyFont="1" applyFill="1" applyBorder="1" applyAlignment="1">
      <alignment horizontal="center" vertical="center" wrapText="1"/>
    </xf>
    <xf numFmtId="0" fontId="29" fillId="11" borderId="64" xfId="0" applyFont="1" applyFill="1" applyBorder="1" applyAlignment="1">
      <alignment horizontal="center" vertical="center" wrapText="1"/>
    </xf>
    <xf numFmtId="0" fontId="29" fillId="11" borderId="83" xfId="0" applyFont="1" applyFill="1" applyBorder="1" applyAlignment="1">
      <alignment horizontal="center" vertical="center" wrapText="1"/>
    </xf>
    <xf numFmtId="3" fontId="9" fillId="0" borderId="219" xfId="0" applyNumberFormat="1" applyFont="1" applyFill="1" applyBorder="1" applyAlignment="1" applyProtection="1">
      <alignment horizontal="center" vertical="center"/>
      <protection locked="0"/>
    </xf>
    <xf numFmtId="3" fontId="9" fillId="0" borderId="192" xfId="0" applyNumberFormat="1" applyFont="1" applyFill="1" applyBorder="1" applyAlignment="1" applyProtection="1">
      <alignment horizontal="center" vertical="center"/>
      <protection locked="0"/>
    </xf>
    <xf numFmtId="3" fontId="9" fillId="0" borderId="215" xfId="0" applyNumberFormat="1" applyFont="1" applyFill="1" applyBorder="1" applyAlignment="1" applyProtection="1">
      <alignment horizontal="center" vertical="center"/>
      <protection locked="0"/>
    </xf>
    <xf numFmtId="3" fontId="9" fillId="0" borderId="216" xfId="0" applyNumberFormat="1" applyFont="1" applyFill="1" applyBorder="1" applyAlignment="1" applyProtection="1">
      <alignment horizontal="center" vertical="center"/>
      <protection locked="0"/>
    </xf>
    <xf numFmtId="0" fontId="47" fillId="25" borderId="92" xfId="0" applyFont="1" applyFill="1" applyBorder="1" applyAlignment="1">
      <alignment horizontal="center" vertical="center" wrapText="1"/>
    </xf>
    <xf numFmtId="0" fontId="47" fillId="25" borderId="81" xfId="0" applyFont="1" applyFill="1" applyBorder="1" applyAlignment="1">
      <alignment horizontal="center" vertical="center" wrapText="1"/>
    </xf>
    <xf numFmtId="0" fontId="47" fillId="20" borderId="0" xfId="0" applyFont="1" applyFill="1" applyBorder="1" applyAlignment="1">
      <alignment horizontal="center" vertical="center"/>
    </xf>
    <xf numFmtId="0" fontId="47" fillId="20" borderId="67" xfId="0" applyFont="1" applyFill="1" applyBorder="1" applyAlignment="1">
      <alignment horizontal="center" vertical="center" wrapText="1"/>
    </xf>
    <xf numFmtId="0" fontId="47" fillId="23" borderId="140" xfId="0" applyFont="1" applyFill="1" applyBorder="1" applyAlignment="1">
      <alignment horizontal="center" vertical="center"/>
    </xf>
    <xf numFmtId="0" fontId="47" fillId="23" borderId="71" xfId="0" applyFont="1" applyFill="1" applyBorder="1" applyAlignment="1">
      <alignment horizontal="center" vertical="center"/>
    </xf>
    <xf numFmtId="0" fontId="47" fillId="23" borderId="103" xfId="0" applyFont="1" applyFill="1" applyBorder="1" applyAlignment="1">
      <alignment horizontal="center" vertical="center"/>
    </xf>
    <xf numFmtId="0" fontId="29" fillId="11" borderId="67" xfId="0" applyFont="1" applyFill="1" applyBorder="1" applyAlignment="1">
      <alignment horizontal="center" vertical="center"/>
    </xf>
    <xf numFmtId="0" fontId="29" fillId="11" borderId="62" xfId="0" applyFont="1" applyFill="1" applyBorder="1" applyAlignment="1">
      <alignment horizontal="center" vertical="center"/>
    </xf>
    <xf numFmtId="0" fontId="17" fillId="11" borderId="213" xfId="0" applyFont="1" applyFill="1" applyBorder="1" applyAlignment="1">
      <alignment horizontal="center" vertical="center"/>
    </xf>
    <xf numFmtId="0" fontId="17" fillId="11" borderId="214" xfId="0" applyFont="1" applyFill="1" applyBorder="1" applyAlignment="1">
      <alignment horizontal="center" vertical="center"/>
    </xf>
    <xf numFmtId="0" fontId="17" fillId="8" borderId="114" xfId="0" applyFont="1" applyFill="1" applyBorder="1" applyAlignment="1">
      <alignment horizontal="center" vertical="center"/>
    </xf>
    <xf numFmtId="0" fontId="17" fillId="8" borderId="113" xfId="0" applyFont="1" applyFill="1" applyBorder="1" applyAlignment="1">
      <alignment horizontal="center" vertical="center"/>
    </xf>
    <xf numFmtId="3" fontId="9" fillId="0" borderId="223" xfId="0" applyNumberFormat="1" applyFont="1" applyFill="1" applyBorder="1" applyAlignment="1" applyProtection="1">
      <alignment horizontal="center" vertical="center"/>
      <protection locked="0"/>
    </xf>
    <xf numFmtId="3" fontId="9" fillId="0" borderId="224" xfId="0" applyNumberFormat="1" applyFont="1" applyFill="1" applyBorder="1" applyAlignment="1" applyProtection="1">
      <alignment horizontal="center" vertical="center"/>
      <protection locked="0"/>
    </xf>
    <xf numFmtId="168" fontId="17" fillId="11" borderId="115" xfId="0" applyNumberFormat="1" applyFont="1" applyFill="1" applyBorder="1" applyAlignment="1">
      <alignment horizontal="center" vertical="center"/>
    </xf>
    <xf numFmtId="168" fontId="17" fillId="11" borderId="114" xfId="0" applyNumberFormat="1" applyFont="1" applyFill="1" applyBorder="1" applyAlignment="1">
      <alignment horizontal="center" vertical="center"/>
    </xf>
    <xf numFmtId="0" fontId="28" fillId="0" borderId="120" xfId="0" applyFont="1" applyBorder="1" applyAlignment="1">
      <alignment horizontal="center" vertical="center" wrapText="1"/>
    </xf>
    <xf numFmtId="0" fontId="28" fillId="0" borderId="0" xfId="0" applyFont="1" applyBorder="1" applyAlignment="1">
      <alignment horizontal="center" vertical="center" wrapText="1"/>
    </xf>
    <xf numFmtId="0" fontId="26" fillId="27" borderId="143" xfId="0" applyFont="1" applyFill="1" applyBorder="1" applyAlignment="1">
      <alignment horizontal="center" vertical="center"/>
    </xf>
    <xf numFmtId="0" fontId="26" fillId="27" borderId="144" xfId="0" applyFont="1" applyFill="1" applyBorder="1" applyAlignment="1">
      <alignment horizontal="center" vertical="center"/>
    </xf>
    <xf numFmtId="0" fontId="26" fillId="27" borderId="145" xfId="0" applyFont="1" applyFill="1" applyBorder="1" applyAlignment="1">
      <alignment horizontal="center" vertical="center"/>
    </xf>
    <xf numFmtId="3" fontId="3" fillId="0" borderId="219" xfId="0" applyNumberFormat="1" applyFont="1" applyFill="1" applyBorder="1" applyAlignment="1" applyProtection="1">
      <alignment horizontal="center" vertical="center"/>
      <protection locked="0"/>
    </xf>
    <xf numFmtId="0" fontId="8" fillId="11" borderId="178" xfId="0" applyFont="1" applyFill="1" applyBorder="1" applyAlignment="1">
      <alignment horizontal="center" vertical="center" wrapText="1"/>
    </xf>
    <xf numFmtId="0" fontId="8" fillId="11" borderId="179" xfId="0" applyFont="1" applyFill="1" applyBorder="1" applyAlignment="1">
      <alignment horizontal="center" vertical="center" wrapText="1"/>
    </xf>
    <xf numFmtId="0" fontId="17" fillId="11" borderId="171" xfId="0" applyFont="1" applyFill="1" applyBorder="1" applyAlignment="1">
      <alignment horizontal="center" vertical="center"/>
    </xf>
    <xf numFmtId="0" fontId="17" fillId="11" borderId="172" xfId="0" applyFont="1" applyFill="1" applyBorder="1" applyAlignment="1">
      <alignment horizontal="center" vertical="center"/>
    </xf>
    <xf numFmtId="0" fontId="9" fillId="11" borderId="174" xfId="0" applyFont="1" applyFill="1" applyBorder="1" applyAlignment="1">
      <alignment horizontal="center" vertical="center" wrapText="1"/>
    </xf>
    <xf numFmtId="0" fontId="9" fillId="11" borderId="175" xfId="0" applyFont="1" applyFill="1" applyBorder="1" applyAlignment="1">
      <alignment horizontal="center" vertical="center" wrapText="1"/>
    </xf>
    <xf numFmtId="0" fontId="46" fillId="11" borderId="82" xfId="0" applyFont="1" applyFill="1" applyBorder="1" applyAlignment="1">
      <alignment horizontal="center" vertical="center" wrapText="1"/>
    </xf>
    <xf numFmtId="0" fontId="46" fillId="11" borderId="51" xfId="0" applyFont="1" applyFill="1" applyBorder="1" applyAlignment="1">
      <alignment horizontal="center" vertical="center" wrapText="1"/>
    </xf>
    <xf numFmtId="0" fontId="47" fillId="25" borderId="95" xfId="0" applyFont="1" applyFill="1" applyBorder="1" applyAlignment="1">
      <alignment horizontal="center" vertical="center" wrapText="1"/>
    </xf>
    <xf numFmtId="0" fontId="28" fillId="13" borderId="0" xfId="0" applyFont="1" applyFill="1" applyAlignment="1">
      <alignment horizontal="left" vertical="center" wrapText="1"/>
    </xf>
    <xf numFmtId="0" fontId="25" fillId="15" borderId="0" xfId="0" applyFont="1" applyFill="1" applyBorder="1" applyAlignment="1">
      <alignment horizontal="left" vertical="center" wrapText="1"/>
    </xf>
    <xf numFmtId="0" fontId="47" fillId="25" borderId="92" xfId="0" applyFont="1" applyFill="1" applyBorder="1" applyAlignment="1">
      <alignment horizontal="center" vertical="center" shrinkToFit="1"/>
    </xf>
    <xf numFmtId="0" fontId="47" fillId="25" borderId="81" xfId="0" applyFont="1" applyFill="1" applyBorder="1" applyAlignment="1">
      <alignment horizontal="center" vertical="center" shrinkToFit="1"/>
    </xf>
    <xf numFmtId="0" fontId="47" fillId="20" borderId="67" xfId="0" applyFont="1" applyFill="1" applyBorder="1" applyAlignment="1">
      <alignment horizontal="center" vertical="center"/>
    </xf>
    <xf numFmtId="0" fontId="47" fillId="20" borderId="83" xfId="0" applyFont="1" applyFill="1" applyBorder="1" applyAlignment="1">
      <alignment horizontal="center" vertical="center"/>
    </xf>
    <xf numFmtId="0" fontId="46" fillId="7" borderId="87" xfId="0" applyFont="1" applyFill="1" applyBorder="1" applyAlignment="1">
      <alignment horizontal="center" vertical="center" wrapText="1"/>
    </xf>
    <xf numFmtId="0" fontId="46" fillId="7" borderId="69" xfId="0" applyFont="1" applyFill="1" applyBorder="1" applyAlignment="1">
      <alignment horizontal="center" vertical="center" wrapText="1"/>
    </xf>
    <xf numFmtId="0" fontId="42" fillId="21" borderId="0" xfId="0" applyFont="1" applyFill="1" applyBorder="1" applyAlignment="1">
      <alignment horizontal="center" vertical="center"/>
    </xf>
    <xf numFmtId="0" fontId="47" fillId="25" borderId="95" xfId="0" applyFont="1" applyFill="1" applyBorder="1" applyAlignment="1">
      <alignment horizontal="center" vertical="center" shrinkToFit="1"/>
    </xf>
    <xf numFmtId="0" fontId="46" fillId="7" borderId="88" xfId="0" applyFont="1" applyFill="1" applyBorder="1" applyAlignment="1">
      <alignment horizontal="center" vertical="center" wrapText="1"/>
    </xf>
    <xf numFmtId="0" fontId="47" fillId="21" borderId="85" xfId="0" applyFont="1" applyFill="1" applyBorder="1" applyAlignment="1">
      <alignment horizontal="center" vertical="center"/>
    </xf>
    <xf numFmtId="0" fontId="47" fillId="21" borderId="68" xfId="0" applyFont="1" applyFill="1" applyBorder="1" applyAlignment="1">
      <alignment horizontal="center" vertical="center"/>
    </xf>
    <xf numFmtId="0" fontId="47" fillId="21" borderId="86" xfId="0" applyFont="1" applyFill="1" applyBorder="1" applyAlignment="1">
      <alignment horizontal="center" vertical="center"/>
    </xf>
    <xf numFmtId="0" fontId="47" fillId="23" borderId="102" xfId="0" applyFont="1" applyFill="1" applyBorder="1" applyAlignment="1">
      <alignment horizontal="center" vertical="center"/>
    </xf>
    <xf numFmtId="0" fontId="47" fillId="21" borderId="0" xfId="0" applyFont="1" applyFill="1" applyBorder="1" applyAlignment="1">
      <alignment horizontal="center" vertical="center" wrapText="1"/>
    </xf>
    <xf numFmtId="0" fontId="26" fillId="27" borderId="91" xfId="0" applyFont="1" applyFill="1" applyBorder="1" applyAlignment="1">
      <alignment horizontal="center" vertical="center"/>
    </xf>
    <xf numFmtId="0" fontId="26" fillId="27" borderId="60" xfId="0" applyFont="1" applyFill="1" applyBorder="1" applyAlignment="1">
      <alignment horizontal="center" vertical="center"/>
    </xf>
    <xf numFmtId="0" fontId="44" fillId="20" borderId="45" xfId="0" applyFont="1" applyFill="1" applyBorder="1" applyAlignment="1">
      <alignment horizontal="left" vertical="center" indent="1"/>
    </xf>
    <xf numFmtId="0" fontId="44" fillId="20" borderId="25" xfId="0" applyFont="1" applyFill="1" applyBorder="1" applyAlignment="1">
      <alignment horizontal="left" vertical="center" indent="1"/>
    </xf>
    <xf numFmtId="0" fontId="44" fillId="20" borderId="43" xfId="0" applyFont="1" applyFill="1" applyBorder="1" applyAlignment="1">
      <alignment horizontal="left" vertical="center" indent="1"/>
    </xf>
    <xf numFmtId="0" fontId="38" fillId="8" borderId="260" xfId="0" applyFont="1" applyFill="1" applyBorder="1" applyAlignment="1">
      <alignment horizontal="center"/>
    </xf>
    <xf numFmtId="0" fontId="38" fillId="8" borderId="261" xfId="0" applyFont="1" applyFill="1" applyBorder="1" applyAlignment="1">
      <alignment horizontal="center"/>
    </xf>
    <xf numFmtId="0" fontId="38" fillId="8" borderId="262" xfId="0" applyFont="1" applyFill="1" applyBorder="1" applyAlignment="1">
      <alignment horizontal="center"/>
    </xf>
    <xf numFmtId="0" fontId="63" fillId="8" borderId="271" xfId="0" applyFont="1" applyFill="1" applyBorder="1" applyAlignment="1">
      <alignment horizontal="center" vertical="center" wrapText="1"/>
    </xf>
    <xf numFmtId="0" fontId="63" fillId="8" borderId="57" xfId="0" applyFont="1" applyFill="1" applyBorder="1" applyAlignment="1">
      <alignment horizontal="center" vertical="center" wrapText="1"/>
    </xf>
    <xf numFmtId="0" fontId="63" fillId="8" borderId="58" xfId="0" applyFont="1" applyFill="1" applyBorder="1" applyAlignment="1">
      <alignment horizontal="center" vertical="center" wrapText="1"/>
    </xf>
    <xf numFmtId="0" fontId="33" fillId="0" borderId="34" xfId="0" applyFont="1" applyBorder="1"/>
    <xf numFmtId="0" fontId="33" fillId="0" borderId="0" xfId="0" applyFont="1" applyBorder="1"/>
    <xf numFmtId="0" fontId="33" fillId="0" borderId="1" xfId="0" applyFont="1" applyBorder="1"/>
    <xf numFmtId="0" fontId="33" fillId="0" borderId="19" xfId="0" applyFont="1" applyBorder="1" applyAlignment="1">
      <alignment horizontal="center"/>
    </xf>
    <xf numFmtId="0" fontId="33" fillId="0" borderId="22" xfId="0" applyFont="1" applyBorder="1" applyAlignment="1">
      <alignment horizontal="center"/>
    </xf>
    <xf numFmtId="0" fontId="33" fillId="0" borderId="0" xfId="0" applyFont="1" applyBorder="1" applyAlignment="1">
      <alignment horizontal="center"/>
    </xf>
    <xf numFmtId="0" fontId="33" fillId="0" borderId="1" xfId="0" applyFont="1" applyBorder="1" applyAlignment="1">
      <alignment horizontal="center"/>
    </xf>
    <xf numFmtId="0" fontId="33" fillId="0" borderId="23" xfId="0" applyFont="1" applyBorder="1" applyAlignment="1">
      <alignment horizontal="left"/>
    </xf>
    <xf numFmtId="0" fontId="33" fillId="0" borderId="20" xfId="0" applyFont="1" applyBorder="1" applyAlignment="1">
      <alignment horizontal="left"/>
    </xf>
    <xf numFmtId="0" fontId="33" fillId="0" borderId="21" xfId="0" applyFont="1" applyBorder="1" applyAlignment="1">
      <alignment horizontal="left"/>
    </xf>
    <xf numFmtId="0" fontId="33" fillId="0" borderId="34" xfId="0" applyFont="1" applyBorder="1" applyAlignment="1">
      <alignment horizontal="left"/>
    </xf>
    <xf numFmtId="0" fontId="33" fillId="0" borderId="0" xfId="0" applyFont="1" applyBorder="1" applyAlignment="1">
      <alignment horizontal="left"/>
    </xf>
    <xf numFmtId="0" fontId="33" fillId="0" borderId="1" xfId="0" applyFont="1" applyBorder="1" applyAlignment="1">
      <alignment horizontal="left"/>
    </xf>
    <xf numFmtId="0" fontId="33" fillId="0" borderId="34" xfId="0" applyFont="1" applyFill="1" applyBorder="1" applyAlignment="1">
      <alignment horizontal="left"/>
    </xf>
    <xf numFmtId="0" fontId="33" fillId="0" borderId="0" xfId="0" applyFont="1" applyFill="1" applyBorder="1" applyAlignment="1">
      <alignment horizontal="left"/>
    </xf>
    <xf numFmtId="0" fontId="33" fillId="0" borderId="1" xfId="0" applyFont="1" applyFill="1" applyBorder="1" applyAlignment="1">
      <alignment horizontal="left"/>
    </xf>
    <xf numFmtId="0" fontId="33" fillId="0" borderId="28" xfId="0" applyFont="1" applyBorder="1" applyAlignment="1">
      <alignment horizontal="center"/>
    </xf>
    <xf numFmtId="0" fontId="33" fillId="0" borderId="23" xfId="0" applyFont="1" applyBorder="1"/>
    <xf numFmtId="0" fontId="33" fillId="0" borderId="20" xfId="0" applyFont="1" applyBorder="1"/>
    <xf numFmtId="0" fontId="33" fillId="0" borderId="21" xfId="0" applyFont="1" applyBorder="1"/>
    <xf numFmtId="0" fontId="33" fillId="0" borderId="0" xfId="0" applyFont="1" applyFill="1" applyBorder="1" applyAlignment="1">
      <alignment horizontal="center"/>
    </xf>
    <xf numFmtId="0" fontId="33" fillId="0" borderId="1" xfId="0" applyFont="1" applyFill="1" applyBorder="1" applyAlignment="1">
      <alignment horizontal="center"/>
    </xf>
    <xf numFmtId="0" fontId="33" fillId="0" borderId="20" xfId="0" applyFont="1" applyBorder="1" applyAlignment="1">
      <alignment horizontal="center"/>
    </xf>
    <xf numFmtId="0" fontId="33" fillId="0" borderId="21" xfId="0" applyFont="1" applyBorder="1" applyAlignment="1">
      <alignment horizontal="center"/>
    </xf>
    <xf numFmtId="0" fontId="33" fillId="0" borderId="17" xfId="0" applyFont="1" applyBorder="1" applyAlignment="1">
      <alignment horizontal="left"/>
    </xf>
    <xf numFmtId="0" fontId="33" fillId="0" borderId="16" xfId="0" applyFont="1" applyBorder="1" applyAlignment="1">
      <alignment horizontal="left"/>
    </xf>
    <xf numFmtId="0" fontId="33" fillId="0" borderId="35" xfId="0" applyFont="1" applyBorder="1" applyAlignment="1">
      <alignment horizontal="left"/>
    </xf>
    <xf numFmtId="0" fontId="33" fillId="0" borderId="16" xfId="0" applyFont="1" applyBorder="1" applyAlignment="1">
      <alignment horizontal="center"/>
    </xf>
    <xf numFmtId="0" fontId="33" fillId="0" borderId="35" xfId="0" applyFont="1" applyBorder="1" applyAlignment="1">
      <alignment horizontal="center"/>
    </xf>
    <xf numFmtId="0" fontId="33" fillId="0" borderId="34" xfId="0" applyFont="1" applyBorder="1" applyAlignment="1">
      <alignment horizontal="center"/>
    </xf>
    <xf numFmtId="0" fontId="33" fillId="0" borderId="17" xfId="0" applyFont="1" applyBorder="1"/>
    <xf numFmtId="0" fontId="33" fillId="0" borderId="35" xfId="0" applyFont="1" applyBorder="1"/>
    <xf numFmtId="0" fontId="7" fillId="0" borderId="0" xfId="0" applyFont="1" applyAlignment="1">
      <alignment horizontal="left" vertical="center" wrapText="1"/>
    </xf>
    <xf numFmtId="0" fontId="33" fillId="0" borderId="16" xfId="0" applyFont="1" applyBorder="1"/>
    <xf numFmtId="0" fontId="15" fillId="0" borderId="34" xfId="0" applyFont="1" applyBorder="1"/>
    <xf numFmtId="0" fontId="15" fillId="0" borderId="0" xfId="0" applyFont="1" applyBorder="1"/>
    <xf numFmtId="0" fontId="15" fillId="0" borderId="17" xfId="0" applyFont="1" applyBorder="1"/>
    <xf numFmtId="0" fontId="15" fillId="0" borderId="16" xfId="0" applyFont="1" applyBorder="1"/>
    <xf numFmtId="0" fontId="14" fillId="0" borderId="34" xfId="0" applyFont="1" applyFill="1" applyBorder="1" applyAlignment="1"/>
    <xf numFmtId="0" fontId="14" fillId="0" borderId="0" xfId="0" applyFont="1" applyFill="1" applyBorder="1" applyAlignment="1"/>
    <xf numFmtId="0" fontId="11" fillId="0" borderId="34" xfId="0" applyFont="1" applyFill="1" applyBorder="1" applyAlignment="1"/>
    <xf numFmtId="0" fontId="11" fillId="0" borderId="0" xfId="0" applyFont="1" applyFill="1" applyBorder="1" applyAlignment="1"/>
    <xf numFmtId="0" fontId="14" fillId="0" borderId="34" xfId="0" applyFont="1" applyBorder="1" applyAlignment="1"/>
    <xf numFmtId="0" fontId="14" fillId="0" borderId="0" xfId="0" applyFont="1" applyBorder="1" applyAlignment="1"/>
    <xf numFmtId="0" fontId="15" fillId="0" borderId="17" xfId="0" applyFont="1" applyBorder="1" applyAlignment="1">
      <alignment horizontal="center"/>
    </xf>
    <xf numFmtId="0" fontId="15" fillId="0" borderId="16" xfId="0" applyFont="1" applyBorder="1" applyAlignment="1">
      <alignment horizontal="center"/>
    </xf>
    <xf numFmtId="0" fontId="15" fillId="0" borderId="35" xfId="0" applyFont="1" applyBorder="1" applyAlignment="1">
      <alignment horizontal="center"/>
    </xf>
    <xf numFmtId="0" fontId="11" fillId="0" borderId="19" xfId="0" applyFont="1" applyFill="1" applyBorder="1" applyAlignment="1">
      <alignment horizontal="center"/>
    </xf>
    <xf numFmtId="0" fontId="11" fillId="0" borderId="22" xfId="0" applyFont="1" applyFill="1" applyBorder="1" applyAlignment="1">
      <alignment horizontal="center"/>
    </xf>
    <xf numFmtId="0" fontId="11" fillId="0" borderId="23" xfId="0" applyFont="1" applyFill="1" applyBorder="1" applyAlignment="1">
      <alignment horizontal="right"/>
    </xf>
    <xf numFmtId="0" fontId="11" fillId="0" borderId="20" xfId="0" applyFont="1" applyFill="1" applyBorder="1" applyAlignment="1">
      <alignment horizontal="right"/>
    </xf>
    <xf numFmtId="0" fontId="0" fillId="0" borderId="34" xfId="0" applyFill="1" applyBorder="1" applyAlignment="1"/>
    <xf numFmtId="0" fontId="0" fillId="0" borderId="0" xfId="0" applyFill="1" applyBorder="1" applyAlignment="1"/>
    <xf numFmtId="0" fontId="15" fillId="0" borderId="34" xfId="0" applyFont="1" applyBorder="1" applyAlignment="1">
      <alignment horizontal="center"/>
    </xf>
    <xf numFmtId="0" fontId="15" fillId="0" borderId="0" xfId="0" applyFont="1" applyBorder="1" applyAlignment="1">
      <alignment horizontal="center"/>
    </xf>
    <xf numFmtId="0" fontId="15" fillId="0" borderId="1" xfId="0" applyFont="1" applyBorder="1" applyAlignment="1">
      <alignment horizontal="center"/>
    </xf>
    <xf numFmtId="0" fontId="11" fillId="0" borderId="34" xfId="0" applyFont="1" applyFill="1" applyBorder="1" applyAlignment="1">
      <alignment horizontal="center"/>
    </xf>
    <xf numFmtId="0" fontId="11" fillId="0" borderId="0" xfId="0" applyFont="1" applyFill="1" applyBorder="1" applyAlignment="1">
      <alignment horizontal="center"/>
    </xf>
    <xf numFmtId="0" fontId="11" fillId="0" borderId="1" xfId="0" applyFont="1" applyFill="1" applyBorder="1" applyAlignment="1">
      <alignment horizont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14" fillId="0" borderId="34" xfId="0" applyFont="1" applyBorder="1" applyAlignment="1">
      <alignment horizontal="center"/>
    </xf>
    <xf numFmtId="0" fontId="14" fillId="0" borderId="0" xfId="0" applyFont="1" applyBorder="1" applyAlignment="1">
      <alignment horizontal="center"/>
    </xf>
    <xf numFmtId="0" fontId="14" fillId="0" borderId="1" xfId="0" applyFont="1" applyBorder="1" applyAlignment="1">
      <alignment horizontal="center"/>
    </xf>
  </cellXfs>
  <cellStyles count="5">
    <cellStyle name="Lien hypertexte" xfId="2" builtinId="8"/>
    <cellStyle name="Monétaire" xfId="4" builtinId="4"/>
    <cellStyle name="Normal" xfId="0" builtinId="0"/>
    <cellStyle name="Normal 2" xfId="3" xr:uid="{00000000-0005-0000-0000-000003000000}"/>
    <cellStyle name="Pourcentage" xfId="1" builtinId="5"/>
  </cellStyles>
  <dxfs count="135">
    <dxf>
      <fill>
        <patternFill>
          <bgColor theme="0" tint="-0.14996795556505021"/>
        </patternFill>
      </fill>
    </dxf>
    <dxf>
      <fill>
        <patternFill>
          <bgColor theme="0" tint="-0.14996795556505021"/>
        </patternFill>
      </fill>
    </dxf>
    <dxf>
      <fill>
        <patternFill>
          <bgColor theme="0" tint="-0.14996795556505021"/>
        </patternFill>
      </fill>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theme="0"/>
      </font>
      <fill>
        <patternFill>
          <bgColor theme="0" tint="-0.34998626667073579"/>
        </patternFill>
      </fill>
    </dxf>
    <dxf>
      <font>
        <color theme="0"/>
      </font>
      <fill>
        <patternFill>
          <bgColor theme="0" tint="-0.34998626667073579"/>
        </patternFill>
      </fill>
    </dxf>
    <dxf>
      <font>
        <color theme="0"/>
      </font>
      <fill>
        <patternFill>
          <bgColor theme="0" tint="-0.34998626667073579"/>
        </patternFill>
      </fill>
    </dxf>
    <dxf>
      <font>
        <color theme="0"/>
      </font>
      <fill>
        <patternFill>
          <bgColor theme="0" tint="-0.34998626667073579"/>
        </patternFill>
      </fill>
    </dxf>
    <dxf>
      <font>
        <color theme="0"/>
      </font>
      <fill>
        <patternFill>
          <bgColor theme="0" tint="-0.34998626667073579"/>
        </patternFill>
      </fill>
    </dxf>
    <dxf>
      <font>
        <color theme="0"/>
      </font>
      <fill>
        <patternFill>
          <bgColor theme="0" tint="-0.34998626667073579"/>
        </patternFill>
      </fill>
    </dxf>
    <dxf>
      <fill>
        <patternFill>
          <bgColor rgb="FF92D050"/>
        </patternFill>
      </fill>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theme="0"/>
      </font>
      <fill>
        <patternFill>
          <bgColor theme="0" tint="-0.34998626667073579"/>
        </patternFill>
      </fill>
    </dxf>
    <dxf>
      <font>
        <color theme="0"/>
      </font>
      <fill>
        <patternFill>
          <bgColor theme="0" tint="-0.34998626667073579"/>
        </patternFill>
      </fill>
    </dxf>
    <dxf>
      <font>
        <color theme="0"/>
      </font>
      <fill>
        <patternFill>
          <bgColor theme="0" tint="-0.34998626667073579"/>
        </patternFill>
      </fill>
    </dxf>
    <dxf>
      <font>
        <color theme="1" tint="0.499984740745262"/>
      </font>
    </dxf>
    <dxf>
      <fill>
        <patternFill>
          <bgColor theme="0" tint="-0.14996795556505021"/>
        </patternFill>
      </fill>
    </dxf>
  </dxfs>
  <tableStyles count="0" defaultTableStyle="TableStyleMedium9" defaultPivotStyle="PivotStyleLight16"/>
  <colors>
    <mruColors>
      <color rgb="FFFEE1FF"/>
      <color rgb="FF008000"/>
      <color rgb="FF355216"/>
      <color rgb="FFFFFFFF"/>
      <color rgb="FFA6E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Résultats'!$I$41</c:f>
          <c:strCache>
            <c:ptCount val="1"/>
            <c:pt idx="0">
              <c:v>Scénario de prix de l'énergie sur 20 ans - Scénario Personnalisé - €/MWh</c:v>
            </c:pt>
          </c:strCache>
        </c:strRef>
      </c:tx>
      <c:overlay val="0"/>
      <c:txPr>
        <a:bodyPr/>
        <a:lstStyle/>
        <a:p>
          <a:pPr>
            <a:defRPr sz="1100"/>
          </a:pPr>
          <a:endParaRPr lang="fr-FR"/>
        </a:p>
      </c:txPr>
    </c:title>
    <c:autoTitleDeleted val="0"/>
    <c:plotArea>
      <c:layout>
        <c:manualLayout>
          <c:layoutTarget val="inner"/>
          <c:xMode val="edge"/>
          <c:yMode val="edge"/>
          <c:x val="6.3954167416243449E-2"/>
          <c:y val="0.16562507798916887"/>
          <c:w val="0.66806074497334678"/>
          <c:h val="0.66786985120889986"/>
        </c:manualLayout>
      </c:layout>
      <c:lineChart>
        <c:grouping val="standard"/>
        <c:varyColors val="0"/>
        <c:ser>
          <c:idx val="6"/>
          <c:order val="0"/>
          <c:tx>
            <c:v>Elec historique</c:v>
          </c:tx>
          <c:spPr>
            <a:ln w="25400" cap="rnd">
              <a:solidFill>
                <a:schemeClr val="accent3"/>
              </a:solidFill>
              <a:prstDash val="sysDash"/>
              <a:round/>
            </a:ln>
            <a:effectLst/>
          </c:spPr>
          <c:marker>
            <c:symbol val="none"/>
          </c:marker>
          <c:cat>
            <c:numRef>
              <c:f>'Plan d''actions'!$E$62:$AI$62</c:f>
              <c:numCache>
                <c:formatCode>General</c:formatCode>
                <c:ptCount val="3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numCache>
            </c:numRef>
          </c:cat>
          <c:val>
            <c:numRef>
              <c:f>'Plan d''actions'!$E$63:$P$63</c:f>
              <c:numCache>
                <c:formatCode>0</c:formatCode>
                <c:ptCount val="12"/>
                <c:pt idx="0">
                  <c:v>67.400000000000006</c:v>
                </c:pt>
                <c:pt idx="1">
                  <c:v>67.400000000000006</c:v>
                </c:pt>
                <c:pt idx="2">
                  <c:v>68.5</c:v>
                </c:pt>
                <c:pt idx="3">
                  <c:v>57.249999999999993</c:v>
                </c:pt>
                <c:pt idx="4">
                  <c:v>64.900000000000006</c:v>
                </c:pt>
                <c:pt idx="5">
                  <c:v>66.099999999999994</c:v>
                </c:pt>
                <c:pt idx="6">
                  <c:v>72.099999999999994</c:v>
                </c:pt>
                <c:pt idx="7">
                  <c:v>75.550000000000011</c:v>
                </c:pt>
                <c:pt idx="8">
                  <c:v>78.800000000000011</c:v>
                </c:pt>
                <c:pt idx="9">
                  <c:v>80.900000000000006</c:v>
                </c:pt>
                <c:pt idx="10">
                  <c:v>85.75</c:v>
                </c:pt>
                <c:pt idx="11">
                  <c:v>83.7</c:v>
                </c:pt>
              </c:numCache>
            </c:numRef>
          </c:val>
          <c:smooth val="0"/>
          <c:extLst>
            <c:ext xmlns:c16="http://schemas.microsoft.com/office/drawing/2014/chart" uri="{C3380CC4-5D6E-409C-BE32-E72D297353CC}">
              <c16:uniqueId val="{00000000-D89D-43DB-8BA3-2D752C007161}"/>
            </c:ext>
          </c:extLst>
        </c:ser>
        <c:ser>
          <c:idx val="7"/>
          <c:order val="1"/>
          <c:tx>
            <c:v>Electricité</c:v>
          </c:tx>
          <c:spPr>
            <a:ln w="31750" cap="rnd">
              <a:solidFill>
                <a:schemeClr val="accent3"/>
              </a:solidFill>
              <a:prstDash val="solid"/>
              <a:round/>
            </a:ln>
            <a:effectLst/>
          </c:spPr>
          <c:marker>
            <c:symbol val="none"/>
          </c:marker>
          <c:cat>
            <c:numRef>
              <c:f>'Plan d''actions'!$E$62:$AI$62</c:f>
              <c:numCache>
                <c:formatCode>General</c:formatCode>
                <c:ptCount val="3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numCache>
            </c:numRef>
          </c:cat>
          <c:val>
            <c:numRef>
              <c:f>[0]!Graph_evolution_abs_elec</c:f>
              <c:numCache>
                <c:formatCode>0%</c:formatCode>
                <c:ptCount val="31"/>
                <c:pt idx="11" formatCode="#,##0">
                  <c:v>83.7</c:v>
                </c:pt>
                <c:pt idx="12" formatCode="#,##0">
                  <c:v>87.885000000000005</c:v>
                </c:pt>
                <c:pt idx="13" formatCode="#,##0">
                  <c:v>92.279250000000005</c:v>
                </c:pt>
                <c:pt idx="14" formatCode="#,##0">
                  <c:v>96.893212500000004</c:v>
                </c:pt>
                <c:pt idx="15" formatCode="#,##0">
                  <c:v>101.73787312500001</c:v>
                </c:pt>
                <c:pt idx="16" formatCode="#,##0">
                  <c:v>106.82476678125001</c:v>
                </c:pt>
                <c:pt idx="17" formatCode="#,##0">
                  <c:v>112.16600512031251</c:v>
                </c:pt>
                <c:pt idx="18" formatCode="#,##0">
                  <c:v>117.77430537632813</c:v>
                </c:pt>
                <c:pt idx="19" formatCode="#,##0">
                  <c:v>123.66302064514454</c:v>
                </c:pt>
                <c:pt idx="20" formatCode="#,##0">
                  <c:v>129.84617167740177</c:v>
                </c:pt>
                <c:pt idx="21" formatCode="#,##0">
                  <c:v>136.33848026127185</c:v>
                </c:pt>
                <c:pt idx="22" formatCode="#,##0">
                  <c:v>143.15540427433547</c:v>
                </c:pt>
                <c:pt idx="23" formatCode="#,##0">
                  <c:v>150.31317448805225</c:v>
                </c:pt>
                <c:pt idx="24" formatCode="#,##0">
                  <c:v>157.82883321245487</c:v>
                </c:pt>
                <c:pt idx="25" formatCode="#,##0">
                  <c:v>165.72027487307761</c:v>
                </c:pt>
                <c:pt idx="26" formatCode="#,##0">
                  <c:v>174.0062886167315</c:v>
                </c:pt>
                <c:pt idx="27" formatCode="#,##0">
                  <c:v>182.70660304756808</c:v>
                </c:pt>
                <c:pt idx="28" formatCode="#,##0">
                  <c:v>191.84193319994648</c:v>
                </c:pt>
                <c:pt idx="29" formatCode="#,##0">
                  <c:v>201.43402985994382</c:v>
                </c:pt>
                <c:pt idx="30" formatCode="#,##0">
                  <c:v>211.50573135294101</c:v>
                </c:pt>
              </c:numCache>
            </c:numRef>
          </c:val>
          <c:smooth val="0"/>
          <c:extLst>
            <c:ext xmlns:c16="http://schemas.microsoft.com/office/drawing/2014/chart" uri="{C3380CC4-5D6E-409C-BE32-E72D297353CC}">
              <c16:uniqueId val="{00000001-D89D-43DB-8BA3-2D752C007161}"/>
            </c:ext>
          </c:extLst>
        </c:ser>
        <c:ser>
          <c:idx val="1"/>
          <c:order val="2"/>
          <c:tx>
            <c:v>Fioul dom historique</c:v>
          </c:tx>
          <c:spPr>
            <a:ln w="25400">
              <a:prstDash val="sysDash"/>
            </a:ln>
          </c:spPr>
          <c:marker>
            <c:symbol val="none"/>
          </c:marker>
          <c:cat>
            <c:numRef>
              <c:f>'Plan d''actions'!$E$62:$AI$62</c:f>
              <c:numCache>
                <c:formatCode>General</c:formatCode>
                <c:ptCount val="3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numCache>
            </c:numRef>
          </c:cat>
          <c:val>
            <c:numRef>
              <c:f>'Plan d''actions'!$E$66:$P$66</c:f>
              <c:numCache>
                <c:formatCode>0</c:formatCode>
                <c:ptCount val="12"/>
                <c:pt idx="0">
                  <c:v>49.083333333333336</c:v>
                </c:pt>
                <c:pt idx="1">
                  <c:v>54.25</c:v>
                </c:pt>
                <c:pt idx="2">
                  <c:v>54.416666666666664</c:v>
                </c:pt>
                <c:pt idx="3">
                  <c:v>69.666666666666671</c:v>
                </c:pt>
                <c:pt idx="4">
                  <c:v>48.083333333333329</c:v>
                </c:pt>
                <c:pt idx="5">
                  <c:v>59.833333333333336</c:v>
                </c:pt>
                <c:pt idx="6">
                  <c:v>74.166666666666671</c:v>
                </c:pt>
                <c:pt idx="7">
                  <c:v>81</c:v>
                </c:pt>
                <c:pt idx="8">
                  <c:v>77.5</c:v>
                </c:pt>
                <c:pt idx="9">
                  <c:v>71.833333333333329</c:v>
                </c:pt>
                <c:pt idx="10">
                  <c:v>59.26819444444444</c:v>
                </c:pt>
                <c:pt idx="11">
                  <c:v>47.300000000000004</c:v>
                </c:pt>
              </c:numCache>
            </c:numRef>
          </c:val>
          <c:smooth val="0"/>
          <c:extLst>
            <c:ext xmlns:c16="http://schemas.microsoft.com/office/drawing/2014/chart" uri="{C3380CC4-5D6E-409C-BE32-E72D297353CC}">
              <c16:uniqueId val="{00000002-D89D-43DB-8BA3-2D752C007161}"/>
            </c:ext>
          </c:extLst>
        </c:ser>
        <c:ser>
          <c:idx val="9"/>
          <c:order val="3"/>
          <c:tx>
            <c:v>Fioul domestique</c:v>
          </c:tx>
          <c:spPr>
            <a:ln w="28575" cap="rnd">
              <a:solidFill>
                <a:schemeClr val="accent2"/>
              </a:solidFill>
              <a:prstDash val="solid"/>
              <a:round/>
            </a:ln>
            <a:effectLst/>
          </c:spPr>
          <c:marker>
            <c:symbol val="none"/>
          </c:marker>
          <c:cat>
            <c:numRef>
              <c:f>'Plan d''actions'!$E$62:$AI$62</c:f>
              <c:numCache>
                <c:formatCode>General</c:formatCode>
                <c:ptCount val="3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numCache>
            </c:numRef>
          </c:cat>
          <c:val>
            <c:numRef>
              <c:f>[0]!Graph_evolution_abs_FD</c:f>
              <c:numCache>
                <c:formatCode>0%</c:formatCode>
                <c:ptCount val="31"/>
                <c:pt idx="11" formatCode="#,##0">
                  <c:v>47.300000000000004</c:v>
                </c:pt>
                <c:pt idx="12" formatCode="#,##0">
                  <c:v>49.665000000000006</c:v>
                </c:pt>
                <c:pt idx="13" formatCode="#,##0">
                  <c:v>52.148250000000012</c:v>
                </c:pt>
                <c:pt idx="14" formatCode="#,##0">
                  <c:v>54.755662500000014</c:v>
                </c:pt>
                <c:pt idx="15" formatCode="#,##0">
                  <c:v>57.493445625000014</c:v>
                </c:pt>
                <c:pt idx="16" formatCode="#,##0">
                  <c:v>60.368117906250021</c:v>
                </c:pt>
                <c:pt idx="17" formatCode="#,##0">
                  <c:v>63.386523801562525</c:v>
                </c:pt>
                <c:pt idx="18" formatCode="#,##0">
                  <c:v>66.555849991640656</c:v>
                </c:pt>
                <c:pt idx="19" formatCode="#,##0">
                  <c:v>69.883642491222687</c:v>
                </c:pt>
                <c:pt idx="20" formatCode="#,##0">
                  <c:v>73.377824615783823</c:v>
                </c:pt>
                <c:pt idx="21" formatCode="#,##0">
                  <c:v>77.046715846573022</c:v>
                </c:pt>
                <c:pt idx="22" formatCode="#,##0">
                  <c:v>80.899051638901682</c:v>
                </c:pt>
                <c:pt idx="23" formatCode="#,##0">
                  <c:v>84.944004220846764</c:v>
                </c:pt>
                <c:pt idx="24" formatCode="#,##0">
                  <c:v>89.191204431889105</c:v>
                </c:pt>
                <c:pt idx="25" formatCode="#,##0">
                  <c:v>93.650764653483563</c:v>
                </c:pt>
                <c:pt idx="26" formatCode="#,##0">
                  <c:v>98.333302886157739</c:v>
                </c:pt>
                <c:pt idx="27" formatCode="#,##0">
                  <c:v>103.24996803046562</c:v>
                </c:pt>
                <c:pt idx="28" formatCode="#,##0">
                  <c:v>108.4124664319889</c:v>
                </c:pt>
                <c:pt idx="29" formatCode="#,##0">
                  <c:v>113.83308975358835</c:v>
                </c:pt>
                <c:pt idx="30" formatCode="#,##0">
                  <c:v>119.52474424126778</c:v>
                </c:pt>
              </c:numCache>
            </c:numRef>
          </c:val>
          <c:smooth val="0"/>
          <c:extLst>
            <c:ext xmlns:c16="http://schemas.microsoft.com/office/drawing/2014/chart" uri="{C3380CC4-5D6E-409C-BE32-E72D297353CC}">
              <c16:uniqueId val="{00000003-D89D-43DB-8BA3-2D752C007161}"/>
            </c:ext>
          </c:extLst>
        </c:ser>
        <c:ser>
          <c:idx val="0"/>
          <c:order val="4"/>
          <c:tx>
            <c:v>FL historique</c:v>
          </c:tx>
          <c:spPr>
            <a:ln w="25400" cap="rnd">
              <a:solidFill>
                <a:schemeClr val="accent6"/>
              </a:solidFill>
              <a:prstDash val="sysDash"/>
              <a:round/>
            </a:ln>
            <a:effectLst/>
          </c:spPr>
          <c:marker>
            <c:symbol val="none"/>
          </c:marker>
          <c:cat>
            <c:numRef>
              <c:f>'Plan d''actions'!$E$62:$AI$62</c:f>
              <c:numCache>
                <c:formatCode>General</c:formatCode>
                <c:ptCount val="3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numCache>
            </c:numRef>
          </c:cat>
          <c:val>
            <c:numRef>
              <c:f>'Plan d''actions'!$E$65:$P$65</c:f>
              <c:numCache>
                <c:formatCode>0</c:formatCode>
                <c:ptCount val="12"/>
                <c:pt idx="0">
                  <c:v>23.803438034380346</c:v>
                </c:pt>
                <c:pt idx="1">
                  <c:v>26.592565925659258</c:v>
                </c:pt>
                <c:pt idx="2">
                  <c:v>28.033480334803347</c:v>
                </c:pt>
                <c:pt idx="3">
                  <c:v>36.177661776617768</c:v>
                </c:pt>
                <c:pt idx="4">
                  <c:v>28.619386193861938</c:v>
                </c:pt>
                <c:pt idx="5">
                  <c:v>37.049770497704976</c:v>
                </c:pt>
                <c:pt idx="6">
                  <c:v>47.102871028710283</c:v>
                </c:pt>
                <c:pt idx="7">
                  <c:v>54.055440554405543</c:v>
                </c:pt>
                <c:pt idx="8">
                  <c:v>49.675096750967512</c:v>
                </c:pt>
                <c:pt idx="9">
                  <c:v>46.519665196651964</c:v>
                </c:pt>
                <c:pt idx="10">
                  <c:v>33.343608436084352</c:v>
                </c:pt>
                <c:pt idx="11">
                  <c:v>27.000270002700024</c:v>
                </c:pt>
              </c:numCache>
            </c:numRef>
          </c:val>
          <c:smooth val="0"/>
          <c:extLst>
            <c:ext xmlns:c16="http://schemas.microsoft.com/office/drawing/2014/chart" uri="{C3380CC4-5D6E-409C-BE32-E72D297353CC}">
              <c16:uniqueId val="{00000004-D89D-43DB-8BA3-2D752C007161}"/>
            </c:ext>
          </c:extLst>
        </c:ser>
        <c:ser>
          <c:idx val="3"/>
          <c:order val="5"/>
          <c:tx>
            <c:v>Fioul Lourd</c:v>
          </c:tx>
          <c:spPr>
            <a:ln w="28575" cap="rnd">
              <a:solidFill>
                <a:schemeClr val="accent6"/>
              </a:solidFill>
              <a:prstDash val="solid"/>
              <a:round/>
            </a:ln>
            <a:effectLst/>
          </c:spPr>
          <c:marker>
            <c:symbol val="none"/>
          </c:marker>
          <c:cat>
            <c:numRef>
              <c:f>'Plan d''actions'!$E$62:$AI$62</c:f>
              <c:numCache>
                <c:formatCode>General</c:formatCode>
                <c:ptCount val="3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numCache>
            </c:numRef>
          </c:cat>
          <c:val>
            <c:numRef>
              <c:f>[0]!Graph_evolution_abs_FL</c:f>
              <c:numCache>
                <c:formatCode>0%</c:formatCode>
                <c:ptCount val="31"/>
                <c:pt idx="11" formatCode="#,##0">
                  <c:v>27.000270002700024</c:v>
                </c:pt>
                <c:pt idx="12" formatCode="#,##0">
                  <c:v>28.350283502835026</c:v>
                </c:pt>
                <c:pt idx="13" formatCode="#,##0">
                  <c:v>29.76779767797678</c:v>
                </c:pt>
                <c:pt idx="14" formatCode="#,##0">
                  <c:v>31.25618756187562</c:v>
                </c:pt>
                <c:pt idx="15" formatCode="#,##0">
                  <c:v>32.818996939969402</c:v>
                </c:pt>
                <c:pt idx="16" formatCode="#,##0">
                  <c:v>34.459946786967876</c:v>
                </c:pt>
                <c:pt idx="17" formatCode="#,##0">
                  <c:v>36.182944126316272</c:v>
                </c:pt>
                <c:pt idx="18" formatCode="#,##0">
                  <c:v>37.992091332632086</c:v>
                </c:pt>
                <c:pt idx="19" formatCode="#,##0">
                  <c:v>39.891695899263695</c:v>
                </c:pt>
                <c:pt idx="20" formatCode="#,##0">
                  <c:v>41.886280694226883</c:v>
                </c:pt>
                <c:pt idx="21" formatCode="#,##0">
                  <c:v>43.980594728938229</c:v>
                </c:pt>
                <c:pt idx="22" formatCode="#,##0">
                  <c:v>46.179624465385139</c:v>
                </c:pt>
                <c:pt idx="23" formatCode="#,##0">
                  <c:v>48.488605688654395</c:v>
                </c:pt>
                <c:pt idx="24" formatCode="#,##0">
                  <c:v>50.913035973087119</c:v>
                </c:pt>
                <c:pt idx="25" formatCode="#,##0">
                  <c:v>53.458687771741481</c:v>
                </c:pt>
                <c:pt idx="26" formatCode="#,##0">
                  <c:v>56.131622160328554</c:v>
                </c:pt>
                <c:pt idx="27" formatCode="#,##0">
                  <c:v>58.938203268344985</c:v>
                </c:pt>
                <c:pt idx="28" formatCode="#,##0">
                  <c:v>61.885113431762235</c:v>
                </c:pt>
                <c:pt idx="29" formatCode="#,##0">
                  <c:v>64.979369103350351</c:v>
                </c:pt>
                <c:pt idx="30" formatCode="#,##0">
                  <c:v>68.228337558517865</c:v>
                </c:pt>
              </c:numCache>
            </c:numRef>
          </c:val>
          <c:smooth val="0"/>
          <c:extLst>
            <c:ext xmlns:c16="http://schemas.microsoft.com/office/drawing/2014/chart" uri="{C3380CC4-5D6E-409C-BE32-E72D297353CC}">
              <c16:uniqueId val="{00000005-D89D-43DB-8BA3-2D752C007161}"/>
            </c:ext>
          </c:extLst>
        </c:ser>
        <c:ser>
          <c:idx val="4"/>
          <c:order val="6"/>
          <c:tx>
            <c:v>Gaz historique</c:v>
          </c:tx>
          <c:spPr>
            <a:ln w="25400" cap="rnd">
              <a:solidFill>
                <a:schemeClr val="accent1"/>
              </a:solidFill>
              <a:prstDash val="sysDash"/>
              <a:round/>
            </a:ln>
            <a:effectLst/>
          </c:spPr>
          <c:marker>
            <c:symbol val="none"/>
          </c:marker>
          <c:cat>
            <c:numRef>
              <c:f>'Plan d''actions'!$E$62:$AI$62</c:f>
              <c:numCache>
                <c:formatCode>General</c:formatCode>
                <c:ptCount val="3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numCache>
            </c:numRef>
          </c:cat>
          <c:val>
            <c:numRef>
              <c:f>'Plan d''actions'!$E$64:$P$64</c:f>
              <c:numCache>
                <c:formatCode>0</c:formatCode>
                <c:ptCount val="12"/>
                <c:pt idx="0">
                  <c:v>26.657867370610351</c:v>
                </c:pt>
                <c:pt idx="1">
                  <c:v>33.417326613870891</c:v>
                </c:pt>
                <c:pt idx="2">
                  <c:v>31.317494600431964</c:v>
                </c:pt>
                <c:pt idx="3">
                  <c:v>40.166666666666664</c:v>
                </c:pt>
                <c:pt idx="4">
                  <c:v>37.611111111111114</c:v>
                </c:pt>
                <c:pt idx="5">
                  <c:v>37.777777777777779</c:v>
                </c:pt>
                <c:pt idx="6">
                  <c:v>41.277777777777786</c:v>
                </c:pt>
                <c:pt idx="7">
                  <c:v>43.999999999999993</c:v>
                </c:pt>
                <c:pt idx="8">
                  <c:v>44.222222222222229</c:v>
                </c:pt>
                <c:pt idx="9">
                  <c:v>42.55555555555555</c:v>
                </c:pt>
                <c:pt idx="10">
                  <c:v>41.388888888888886</c:v>
                </c:pt>
                <c:pt idx="11">
                  <c:v>40.888888888888886</c:v>
                </c:pt>
              </c:numCache>
            </c:numRef>
          </c:val>
          <c:smooth val="0"/>
          <c:extLst>
            <c:ext xmlns:c16="http://schemas.microsoft.com/office/drawing/2014/chart" uri="{C3380CC4-5D6E-409C-BE32-E72D297353CC}">
              <c16:uniqueId val="{00000006-D89D-43DB-8BA3-2D752C007161}"/>
            </c:ext>
          </c:extLst>
        </c:ser>
        <c:ser>
          <c:idx val="5"/>
          <c:order val="7"/>
          <c:tx>
            <c:v>Gaz</c:v>
          </c:tx>
          <c:spPr>
            <a:ln w="28575" cap="rnd">
              <a:solidFill>
                <a:schemeClr val="accent1"/>
              </a:solidFill>
              <a:prstDash val="solid"/>
              <a:round/>
            </a:ln>
            <a:effectLst/>
          </c:spPr>
          <c:marker>
            <c:symbol val="none"/>
          </c:marker>
          <c:cat>
            <c:numRef>
              <c:f>'Plan d''actions'!$E$62:$AI$62</c:f>
              <c:numCache>
                <c:formatCode>General</c:formatCode>
                <c:ptCount val="3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numCache>
            </c:numRef>
          </c:cat>
          <c:val>
            <c:numRef>
              <c:f>[0]!Graph_evolution_abs_gaz</c:f>
              <c:numCache>
                <c:formatCode>0%</c:formatCode>
                <c:ptCount val="31"/>
                <c:pt idx="11" formatCode="#,##0">
                  <c:v>40.888888888888886</c:v>
                </c:pt>
                <c:pt idx="12" formatCode="#,##0">
                  <c:v>42.93333333333333</c:v>
                </c:pt>
                <c:pt idx="13" formatCode="#,##0">
                  <c:v>45.08</c:v>
                </c:pt>
                <c:pt idx="14" formatCode="#,##0">
                  <c:v>47.334000000000003</c:v>
                </c:pt>
                <c:pt idx="15" formatCode="#,##0">
                  <c:v>49.700700000000005</c:v>
                </c:pt>
                <c:pt idx="16" formatCode="#,##0">
                  <c:v>52.185735000000008</c:v>
                </c:pt>
                <c:pt idx="17" formatCode="#,##0">
                  <c:v>54.795021750000011</c:v>
                </c:pt>
                <c:pt idx="18" formatCode="#,##0">
                  <c:v>57.534772837500014</c:v>
                </c:pt>
                <c:pt idx="19" formatCode="#,##0">
                  <c:v>60.411511479375015</c:v>
                </c:pt>
                <c:pt idx="20" formatCode="#,##0">
                  <c:v>63.432087053343771</c:v>
                </c:pt>
                <c:pt idx="21" formatCode="#,##0">
                  <c:v>66.603691406010967</c:v>
                </c:pt>
                <c:pt idx="22" formatCode="#,##0">
                  <c:v>69.933875976311512</c:v>
                </c:pt>
                <c:pt idx="23" formatCode="#,##0">
                  <c:v>73.430569775127097</c:v>
                </c:pt>
                <c:pt idx="24" formatCode="#,##0">
                  <c:v>77.102098263883448</c:v>
                </c:pt>
                <c:pt idx="25" formatCode="#,##0">
                  <c:v>80.957203177077631</c:v>
                </c:pt>
                <c:pt idx="26" formatCode="#,##0">
                  <c:v>85.00506333593151</c:v>
                </c:pt>
                <c:pt idx="27" formatCode="#,##0">
                  <c:v>89.255316502728093</c:v>
                </c:pt>
                <c:pt idx="28" formatCode="#,##0">
                  <c:v>93.718082327864508</c:v>
                </c:pt>
                <c:pt idx="29" formatCode="#,##0">
                  <c:v>98.40398644425774</c:v>
                </c:pt>
                <c:pt idx="30" formatCode="#,##0">
                  <c:v>103.32418576647063</c:v>
                </c:pt>
              </c:numCache>
            </c:numRef>
          </c:val>
          <c:smooth val="0"/>
          <c:extLst>
            <c:ext xmlns:c16="http://schemas.microsoft.com/office/drawing/2014/chart" uri="{C3380CC4-5D6E-409C-BE32-E72D297353CC}">
              <c16:uniqueId val="{00000007-D89D-43DB-8BA3-2D752C007161}"/>
            </c:ext>
          </c:extLst>
        </c:ser>
        <c:dLbls>
          <c:showLegendKey val="0"/>
          <c:showVal val="0"/>
          <c:showCatName val="0"/>
          <c:showSerName val="0"/>
          <c:showPercent val="0"/>
          <c:showBubbleSize val="0"/>
        </c:dLbls>
        <c:smooth val="0"/>
        <c:axId val="93920256"/>
        <c:axId val="164106176"/>
      </c:lineChart>
      <c:catAx>
        <c:axId val="93920256"/>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64106176"/>
        <c:crosses val="autoZero"/>
        <c:auto val="1"/>
        <c:lblAlgn val="ctr"/>
        <c:lblOffset val="100"/>
        <c:tickMarkSkip val="1"/>
        <c:noMultiLvlLbl val="0"/>
      </c:catAx>
      <c:valAx>
        <c:axId val="164106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fr-FR"/>
          </a:p>
        </c:txPr>
        <c:crossAx val="93920256"/>
        <c:crosses val="autoZero"/>
        <c:crossBetween val="midCat"/>
      </c:valAx>
      <c:spPr>
        <a:noFill/>
        <a:ln>
          <a:noFill/>
        </a:ln>
        <a:effectLst/>
      </c:spPr>
    </c:plotArea>
    <c:legend>
      <c:legendPos val="r"/>
      <c:legendEntry>
        <c:idx val="0"/>
        <c:delete val="1"/>
      </c:legendEntry>
      <c:legendEntry>
        <c:idx val="2"/>
        <c:delete val="1"/>
      </c:legendEntry>
      <c:legendEntry>
        <c:idx val="4"/>
        <c:delete val="1"/>
      </c:legendEntry>
      <c:legendEntry>
        <c:idx val="6"/>
        <c:delete val="1"/>
      </c:legendEntry>
      <c:overlay val="0"/>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Investissements par type d'actions - k€</a:t>
            </a:r>
          </a:p>
        </c:rich>
      </c:tx>
      <c:overlay val="0"/>
    </c:title>
    <c:autoTitleDeleted val="0"/>
    <c:plotArea>
      <c:layout/>
      <c:barChart>
        <c:barDir val="col"/>
        <c:grouping val="stacked"/>
        <c:varyColors val="0"/>
        <c:ser>
          <c:idx val="0"/>
          <c:order val="0"/>
          <c:tx>
            <c:strRef>
              <c:f>'Paramètres et Résultats'!$X$137</c:f>
              <c:strCache>
                <c:ptCount val="1"/>
                <c:pt idx="0">
                  <c:v>Investissement</c:v>
                </c:pt>
              </c:strCache>
            </c:strRef>
          </c:tx>
          <c:invertIfNegative val="0"/>
          <c:dLbls>
            <c:numFmt formatCode="#,##0,\k&quot;€&quot;;[Red]\-#,##0,\k&quot;€&quot;" sourceLinked="0"/>
            <c:spPr>
              <a:noFill/>
              <a:ln>
                <a:noFill/>
              </a:ln>
              <a:effectLst/>
            </c:spPr>
            <c:txPr>
              <a:bodyPr/>
              <a:lstStyle/>
              <a:p>
                <a:pPr>
                  <a:defRPr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Résultats'!$W$138:$W$141</c:f>
              <c:strCache>
                <c:ptCount val="4"/>
                <c:pt idx="0">
                  <c:v>Prioritaire</c:v>
                </c:pt>
                <c:pt idx="1">
                  <c:v>Ambitieux</c:v>
                </c:pt>
                <c:pt idx="2">
                  <c:v>Très ambitieux</c:v>
                </c:pt>
                <c:pt idx="3">
                  <c:v>Total</c:v>
                </c:pt>
              </c:strCache>
            </c:strRef>
          </c:cat>
          <c:val>
            <c:numRef>
              <c:f>'Paramètres et Résultats'!$X$138:$X$141</c:f>
              <c:numCache>
                <c:formatCode>#\ ##0\ "€"</c:formatCode>
                <c:ptCount val="4"/>
                <c:pt idx="0">
                  <c:v>110555</c:v>
                </c:pt>
                <c:pt idx="1">
                  <c:v>127100</c:v>
                </c:pt>
                <c:pt idx="2">
                  <c:v>296670</c:v>
                </c:pt>
                <c:pt idx="3">
                  <c:v>534325</c:v>
                </c:pt>
              </c:numCache>
            </c:numRef>
          </c:val>
          <c:extLst>
            <c:ext xmlns:c16="http://schemas.microsoft.com/office/drawing/2014/chart" uri="{C3380CC4-5D6E-409C-BE32-E72D297353CC}">
              <c16:uniqueId val="{00000000-C722-488D-B0E4-727AAF255450}"/>
            </c:ext>
          </c:extLst>
        </c:ser>
        <c:ser>
          <c:idx val="1"/>
          <c:order val="1"/>
          <c:tx>
            <c:strRef>
              <c:f>'Paramètres et Résultats'!$Y$137</c:f>
              <c:strCache>
                <c:ptCount val="1"/>
                <c:pt idx="0">
                  <c:v>dont CEE</c:v>
                </c:pt>
              </c:strCache>
            </c:strRef>
          </c:tx>
          <c:spPr>
            <a:pattFill prst="wdUpDiag">
              <a:fgClr>
                <a:schemeClr val="bg1"/>
              </a:fgClr>
              <a:bgClr>
                <a:schemeClr val="accent1"/>
              </a:bgClr>
            </a:pattFill>
          </c:spPr>
          <c:invertIfNegative val="0"/>
          <c:cat>
            <c:strRef>
              <c:f>'Paramètres et Résultats'!$W$138:$W$141</c:f>
              <c:strCache>
                <c:ptCount val="4"/>
                <c:pt idx="0">
                  <c:v>Prioritaire</c:v>
                </c:pt>
                <c:pt idx="1">
                  <c:v>Ambitieux</c:v>
                </c:pt>
                <c:pt idx="2">
                  <c:v>Très ambitieux</c:v>
                </c:pt>
                <c:pt idx="3">
                  <c:v>Total</c:v>
                </c:pt>
              </c:strCache>
            </c:strRef>
          </c:cat>
          <c:val>
            <c:numRef>
              <c:f>'Paramètres et Résultats'!$Y$138:$Y$141</c:f>
              <c:numCache>
                <c:formatCode>#\ ##0\ "€"</c:formatCode>
                <c:ptCount val="4"/>
                <c:pt idx="0">
                  <c:v>1245</c:v>
                </c:pt>
                <c:pt idx="1">
                  <c:v>0</c:v>
                </c:pt>
                <c:pt idx="2">
                  <c:v>33330</c:v>
                </c:pt>
                <c:pt idx="3">
                  <c:v>34575</c:v>
                </c:pt>
              </c:numCache>
            </c:numRef>
          </c:val>
          <c:extLst>
            <c:ext xmlns:c16="http://schemas.microsoft.com/office/drawing/2014/chart" uri="{C3380CC4-5D6E-409C-BE32-E72D297353CC}">
              <c16:uniqueId val="{00000001-C722-488D-B0E4-727AAF255450}"/>
            </c:ext>
          </c:extLst>
        </c:ser>
        <c:dLbls>
          <c:showLegendKey val="0"/>
          <c:showVal val="0"/>
          <c:showCatName val="0"/>
          <c:showSerName val="0"/>
          <c:showPercent val="0"/>
          <c:showBubbleSize val="0"/>
        </c:dLbls>
        <c:gapWidth val="75"/>
        <c:overlap val="100"/>
        <c:axId val="93920768"/>
        <c:axId val="164109056"/>
      </c:barChart>
      <c:catAx>
        <c:axId val="93920768"/>
        <c:scaling>
          <c:orientation val="minMax"/>
        </c:scaling>
        <c:delete val="0"/>
        <c:axPos val="b"/>
        <c:numFmt formatCode="General" sourceLinked="0"/>
        <c:majorTickMark val="out"/>
        <c:minorTickMark val="none"/>
        <c:tickLblPos val="nextTo"/>
        <c:crossAx val="164109056"/>
        <c:crosses val="autoZero"/>
        <c:auto val="1"/>
        <c:lblAlgn val="ctr"/>
        <c:lblOffset val="100"/>
        <c:noMultiLvlLbl val="0"/>
      </c:catAx>
      <c:valAx>
        <c:axId val="164109056"/>
        <c:scaling>
          <c:orientation val="minMax"/>
        </c:scaling>
        <c:delete val="0"/>
        <c:axPos val="l"/>
        <c:majorGridlines/>
        <c:numFmt formatCode="#,##0,\k&quot;€&quot;;[Red]\-#,##0,\k&quot;€&quot;" sourceLinked="0"/>
        <c:majorTickMark val="out"/>
        <c:minorTickMark val="none"/>
        <c:tickLblPos val="nextTo"/>
        <c:crossAx val="93920768"/>
        <c:crosses val="autoZero"/>
        <c:crossBetween val="between"/>
      </c:valAx>
    </c:plotArea>
    <c:legend>
      <c:legendPos val="b"/>
      <c:layout>
        <c:manualLayout>
          <c:xMode val="edge"/>
          <c:yMode val="edge"/>
          <c:x val="0.31695649466284515"/>
          <c:y val="0.89551548000878411"/>
          <c:w val="0.3707945532699804"/>
          <c:h val="7.9471496477989026E-2"/>
        </c:manualLayout>
      </c:layout>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Temps de retour brut (TRB) par type d'actions - Nb d'années</a:t>
            </a:r>
          </a:p>
        </c:rich>
      </c:tx>
      <c:overlay val="0"/>
    </c:title>
    <c:autoTitleDeleted val="0"/>
    <c:plotArea>
      <c:layout/>
      <c:barChart>
        <c:barDir val="col"/>
        <c:grouping val="clustered"/>
        <c:varyColors val="0"/>
        <c:ser>
          <c:idx val="0"/>
          <c:order val="0"/>
          <c:tx>
            <c:strRef>
              <c:f>'Paramètres et Résultats'!$AA$137</c:f>
              <c:strCache>
                <c:ptCount val="1"/>
                <c:pt idx="0">
                  <c:v>Sans CEE</c:v>
                </c:pt>
              </c:strCache>
            </c:strRef>
          </c:tx>
          <c:spPr>
            <a:solidFill>
              <a:schemeClr val="accent2">
                <a:lumMod val="60000"/>
                <a:lumOff val="40000"/>
              </a:schemeClr>
            </a:solidFill>
          </c:spPr>
          <c:invertIfNegative val="0"/>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Résultats'!$W$138:$W$141</c:f>
              <c:strCache>
                <c:ptCount val="4"/>
                <c:pt idx="0">
                  <c:v>Prioritaire</c:v>
                </c:pt>
                <c:pt idx="1">
                  <c:v>Ambitieux</c:v>
                </c:pt>
                <c:pt idx="2">
                  <c:v>Très ambitieux</c:v>
                </c:pt>
                <c:pt idx="3">
                  <c:v>Total</c:v>
                </c:pt>
              </c:strCache>
            </c:strRef>
          </c:cat>
          <c:val>
            <c:numRef>
              <c:f>'Paramètres et Résultats'!$AA$138:$AA$141</c:f>
              <c:numCache>
                <c:formatCode>#\ ##0.0</c:formatCode>
                <c:ptCount val="4"/>
                <c:pt idx="0">
                  <c:v>1.1489324531169447</c:v>
                </c:pt>
                <c:pt idx="1">
                  <c:v>2.7508176221623706</c:v>
                </c:pt>
                <c:pt idx="2">
                  <c:v>6.5936437274467421</c:v>
                </c:pt>
                <c:pt idx="3">
                  <c:v>2.9053784939118472</c:v>
                </c:pt>
              </c:numCache>
            </c:numRef>
          </c:val>
          <c:extLst>
            <c:ext xmlns:c16="http://schemas.microsoft.com/office/drawing/2014/chart" uri="{C3380CC4-5D6E-409C-BE32-E72D297353CC}">
              <c16:uniqueId val="{00000000-E837-4A9B-90D3-7D55AC11DEE4}"/>
            </c:ext>
          </c:extLst>
        </c:ser>
        <c:ser>
          <c:idx val="1"/>
          <c:order val="1"/>
          <c:tx>
            <c:strRef>
              <c:f>'Paramètres et Résultats'!$AB$137</c:f>
              <c:strCache>
                <c:ptCount val="1"/>
                <c:pt idx="0">
                  <c:v>Avec CEE</c:v>
                </c:pt>
              </c:strCache>
            </c:strRef>
          </c:tx>
          <c:spPr>
            <a:solidFill>
              <a:schemeClr val="accent2"/>
            </a:solidFill>
          </c:spPr>
          <c:invertIfNegative val="0"/>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Résultats'!$W$138:$W$141</c:f>
              <c:strCache>
                <c:ptCount val="4"/>
                <c:pt idx="0">
                  <c:v>Prioritaire</c:v>
                </c:pt>
                <c:pt idx="1">
                  <c:v>Ambitieux</c:v>
                </c:pt>
                <c:pt idx="2">
                  <c:v>Très ambitieux</c:v>
                </c:pt>
                <c:pt idx="3">
                  <c:v>Total</c:v>
                </c:pt>
              </c:strCache>
            </c:strRef>
          </c:cat>
          <c:val>
            <c:numRef>
              <c:f>'Paramètres et Résultats'!$AB$138:$AB$141</c:f>
              <c:numCache>
                <c:formatCode>#\ ##0.0</c:formatCode>
                <c:ptCount val="4"/>
                <c:pt idx="0">
                  <c:v>1.1361379906470823</c:v>
                </c:pt>
                <c:pt idx="1">
                  <c:v>2.7508176221623706</c:v>
                </c:pt>
                <c:pt idx="2">
                  <c:v>5.9276857109746208</c:v>
                </c:pt>
                <c:pt idx="3">
                  <c:v>2.7288035924757388</c:v>
                </c:pt>
              </c:numCache>
            </c:numRef>
          </c:val>
          <c:extLst>
            <c:ext xmlns:c16="http://schemas.microsoft.com/office/drawing/2014/chart" uri="{C3380CC4-5D6E-409C-BE32-E72D297353CC}">
              <c16:uniqueId val="{00000001-E837-4A9B-90D3-7D55AC11DEE4}"/>
            </c:ext>
          </c:extLst>
        </c:ser>
        <c:dLbls>
          <c:showLegendKey val="0"/>
          <c:showVal val="0"/>
          <c:showCatName val="0"/>
          <c:showSerName val="0"/>
          <c:showPercent val="0"/>
          <c:showBubbleSize val="0"/>
        </c:dLbls>
        <c:gapWidth val="150"/>
        <c:axId val="163471360"/>
        <c:axId val="164137216"/>
      </c:barChart>
      <c:catAx>
        <c:axId val="163471360"/>
        <c:scaling>
          <c:orientation val="minMax"/>
        </c:scaling>
        <c:delete val="0"/>
        <c:axPos val="b"/>
        <c:numFmt formatCode="General" sourceLinked="0"/>
        <c:majorTickMark val="out"/>
        <c:minorTickMark val="none"/>
        <c:tickLblPos val="nextTo"/>
        <c:crossAx val="164137216"/>
        <c:crosses val="autoZero"/>
        <c:auto val="1"/>
        <c:lblAlgn val="ctr"/>
        <c:lblOffset val="100"/>
        <c:noMultiLvlLbl val="0"/>
      </c:catAx>
      <c:valAx>
        <c:axId val="164137216"/>
        <c:scaling>
          <c:orientation val="minMax"/>
        </c:scaling>
        <c:delete val="1"/>
        <c:axPos val="l"/>
        <c:numFmt formatCode="#\ ##0.0" sourceLinked="1"/>
        <c:majorTickMark val="out"/>
        <c:minorTickMark val="none"/>
        <c:tickLblPos val="nextTo"/>
        <c:crossAx val="163471360"/>
        <c:crosses val="autoZero"/>
        <c:crossBetween val="between"/>
      </c:valAx>
    </c:plotArea>
    <c:legend>
      <c:legendPos val="b"/>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Résultats'!$W$157</c:f>
          <c:strCache>
            <c:ptCount val="1"/>
            <c:pt idx="0">
              <c:v>Valeurs actualisées nettes des investissements (VAN) sur 20 ans - Scénario de prix ''Personnalisé'' - Taux d'actualisation de 10% - k€</c:v>
            </c:pt>
          </c:strCache>
        </c:strRef>
      </c:tx>
      <c:overlay val="0"/>
      <c:txPr>
        <a:bodyPr/>
        <a:lstStyle/>
        <a:p>
          <a:pPr>
            <a:defRPr sz="1100"/>
          </a:pPr>
          <a:endParaRPr lang="fr-FR"/>
        </a:p>
      </c:txPr>
    </c:title>
    <c:autoTitleDeleted val="0"/>
    <c:plotArea>
      <c:layout/>
      <c:barChart>
        <c:barDir val="col"/>
        <c:grouping val="clustered"/>
        <c:varyColors val="0"/>
        <c:ser>
          <c:idx val="0"/>
          <c:order val="0"/>
          <c:tx>
            <c:strRef>
              <c:f>'Paramètres et Résultats'!$AD$137</c:f>
              <c:strCache>
                <c:ptCount val="1"/>
                <c:pt idx="0">
                  <c:v>Sans CEE</c:v>
                </c:pt>
              </c:strCache>
            </c:strRef>
          </c:tx>
          <c:spPr>
            <a:solidFill>
              <a:schemeClr val="accent3">
                <a:lumMod val="60000"/>
                <a:lumOff val="40000"/>
              </a:schemeClr>
            </a:solidFill>
          </c:spPr>
          <c:invertIfNegative val="0"/>
          <c:dLbls>
            <c:numFmt formatCode="#,##0,\k&quot;€&quot;;[Red]\-#,##0,\k&quot;€&quot;"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Résultats'!$W$138:$W$141</c:f>
              <c:strCache>
                <c:ptCount val="4"/>
                <c:pt idx="0">
                  <c:v>Prioritaire</c:v>
                </c:pt>
                <c:pt idx="1">
                  <c:v>Ambitieux</c:v>
                </c:pt>
                <c:pt idx="2">
                  <c:v>Très ambitieux</c:v>
                </c:pt>
                <c:pt idx="3">
                  <c:v>Total</c:v>
                </c:pt>
              </c:strCache>
            </c:strRef>
          </c:cat>
          <c:val>
            <c:numRef>
              <c:f>'Paramètres et Résultats'!$AD$138:$AD$141</c:f>
              <c:numCache>
                <c:formatCode>"€"#,##0_);[Red]\("€"#,##0\)</c:formatCode>
                <c:ptCount val="4"/>
                <c:pt idx="0">
                  <c:v>1084791.9126967145</c:v>
                </c:pt>
                <c:pt idx="1">
                  <c:v>432532.11494507978</c:v>
                </c:pt>
                <c:pt idx="2">
                  <c:v>272589.48499294859</c:v>
                </c:pt>
                <c:pt idx="3">
                  <c:v>1817152.2438931316</c:v>
                </c:pt>
              </c:numCache>
            </c:numRef>
          </c:val>
          <c:extLst>
            <c:ext xmlns:c16="http://schemas.microsoft.com/office/drawing/2014/chart" uri="{C3380CC4-5D6E-409C-BE32-E72D297353CC}">
              <c16:uniqueId val="{00000000-39D7-4051-A743-1801F733D160}"/>
            </c:ext>
          </c:extLst>
        </c:ser>
        <c:ser>
          <c:idx val="1"/>
          <c:order val="1"/>
          <c:tx>
            <c:strRef>
              <c:f>'Paramètres et Résultats'!$AE$137</c:f>
              <c:strCache>
                <c:ptCount val="1"/>
                <c:pt idx="0">
                  <c:v>Avec CEE</c:v>
                </c:pt>
              </c:strCache>
            </c:strRef>
          </c:tx>
          <c:spPr>
            <a:solidFill>
              <a:schemeClr val="accent3">
                <a:lumMod val="75000"/>
              </a:schemeClr>
            </a:solidFill>
          </c:spPr>
          <c:invertIfNegative val="0"/>
          <c:dLbls>
            <c:numFmt formatCode="#,##0,\k&quot;€&quot;;[Red]\-#,##0,\k&quot;€&quot;"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Résultats'!$W$138:$W$141</c:f>
              <c:strCache>
                <c:ptCount val="4"/>
                <c:pt idx="0">
                  <c:v>Prioritaire</c:v>
                </c:pt>
                <c:pt idx="1">
                  <c:v>Ambitieux</c:v>
                </c:pt>
                <c:pt idx="2">
                  <c:v>Très ambitieux</c:v>
                </c:pt>
                <c:pt idx="3">
                  <c:v>Total</c:v>
                </c:pt>
              </c:strCache>
            </c:strRef>
          </c:cat>
          <c:val>
            <c:numRef>
              <c:f>'Paramètres et Résultats'!$AE$138:$AE$141</c:f>
              <c:numCache>
                <c:formatCode>"€"#,##0_);[Red]\("€"#,##0\)</c:formatCode>
                <c:ptCount val="4"/>
                <c:pt idx="0">
                  <c:v>1086036.9126967145</c:v>
                </c:pt>
                <c:pt idx="1">
                  <c:v>432532.11494507978</c:v>
                </c:pt>
                <c:pt idx="2">
                  <c:v>305919.48499294859</c:v>
                </c:pt>
                <c:pt idx="3">
                  <c:v>1851727.2438931316</c:v>
                </c:pt>
              </c:numCache>
            </c:numRef>
          </c:val>
          <c:extLst>
            <c:ext xmlns:c16="http://schemas.microsoft.com/office/drawing/2014/chart" uri="{C3380CC4-5D6E-409C-BE32-E72D297353CC}">
              <c16:uniqueId val="{00000001-39D7-4051-A743-1801F733D160}"/>
            </c:ext>
          </c:extLst>
        </c:ser>
        <c:dLbls>
          <c:showLegendKey val="0"/>
          <c:showVal val="0"/>
          <c:showCatName val="0"/>
          <c:showSerName val="0"/>
          <c:showPercent val="0"/>
          <c:showBubbleSize val="0"/>
        </c:dLbls>
        <c:gapWidth val="75"/>
        <c:axId val="163471872"/>
        <c:axId val="164139520"/>
      </c:barChart>
      <c:catAx>
        <c:axId val="163471872"/>
        <c:scaling>
          <c:orientation val="minMax"/>
        </c:scaling>
        <c:delete val="0"/>
        <c:axPos val="b"/>
        <c:numFmt formatCode="General" sourceLinked="0"/>
        <c:majorTickMark val="out"/>
        <c:minorTickMark val="none"/>
        <c:tickLblPos val="nextTo"/>
        <c:crossAx val="164139520"/>
        <c:crosses val="autoZero"/>
        <c:auto val="1"/>
        <c:lblAlgn val="ctr"/>
        <c:lblOffset val="100"/>
        <c:noMultiLvlLbl val="0"/>
      </c:catAx>
      <c:valAx>
        <c:axId val="164139520"/>
        <c:scaling>
          <c:orientation val="minMax"/>
        </c:scaling>
        <c:delete val="0"/>
        <c:axPos val="l"/>
        <c:majorGridlines/>
        <c:numFmt formatCode="#,##0,\k&quot;€&quot;;[Red]\-#,##0,\k&quot;€&quot;" sourceLinked="0"/>
        <c:majorTickMark val="out"/>
        <c:minorTickMark val="none"/>
        <c:tickLblPos val="nextTo"/>
        <c:crossAx val="163471872"/>
        <c:crosses val="autoZero"/>
        <c:crossBetween val="between"/>
      </c:valAx>
    </c:plotArea>
    <c:legend>
      <c:legendPos val="b"/>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Résultats'!$W$156</c:f>
          <c:strCache>
            <c:ptCount val="1"/>
            <c:pt idx="0">
              <c:v>Taux de rentabilité internes (TRI) sur 20 ans - Scénario de prix ''Personnalisé''</c:v>
            </c:pt>
          </c:strCache>
        </c:strRef>
      </c:tx>
      <c:overlay val="0"/>
      <c:txPr>
        <a:bodyPr/>
        <a:lstStyle/>
        <a:p>
          <a:pPr>
            <a:defRPr sz="1100"/>
          </a:pPr>
          <a:endParaRPr lang="fr-FR"/>
        </a:p>
      </c:txPr>
    </c:title>
    <c:autoTitleDeleted val="0"/>
    <c:plotArea>
      <c:layout/>
      <c:barChart>
        <c:barDir val="col"/>
        <c:grouping val="clustered"/>
        <c:varyColors val="0"/>
        <c:ser>
          <c:idx val="0"/>
          <c:order val="0"/>
          <c:tx>
            <c:strRef>
              <c:f>'Paramètres et Résultats'!$AG$137</c:f>
              <c:strCache>
                <c:ptCount val="1"/>
                <c:pt idx="0">
                  <c:v>Sans CEE</c:v>
                </c:pt>
              </c:strCache>
            </c:strRef>
          </c:tx>
          <c:spPr>
            <a:solidFill>
              <a:schemeClr val="accent4">
                <a:lumMod val="60000"/>
                <a:lumOff val="40000"/>
              </a:schemeClr>
            </a:solidFill>
          </c:spPr>
          <c:invertIfNegative val="0"/>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Résultats'!$W$138:$W$141</c:f>
              <c:strCache>
                <c:ptCount val="4"/>
                <c:pt idx="0">
                  <c:v>Prioritaire</c:v>
                </c:pt>
                <c:pt idx="1">
                  <c:v>Ambitieux</c:v>
                </c:pt>
                <c:pt idx="2">
                  <c:v>Très ambitieux</c:v>
                </c:pt>
                <c:pt idx="3">
                  <c:v>Total</c:v>
                </c:pt>
              </c:strCache>
            </c:strRef>
          </c:cat>
          <c:val>
            <c:numRef>
              <c:f>'Paramètres et Résultats'!$AG$138:$AG$141</c:f>
              <c:numCache>
                <c:formatCode>0%</c:formatCode>
                <c:ptCount val="4"/>
                <c:pt idx="0">
                  <c:v>0.92279141629404848</c:v>
                </c:pt>
                <c:pt idx="1">
                  <c:v>0.41256409420701745</c:v>
                </c:pt>
                <c:pt idx="2">
                  <c:v>0.18826505759525025</c:v>
                </c:pt>
                <c:pt idx="3">
                  <c:v>0.39387390829535707</c:v>
                </c:pt>
              </c:numCache>
            </c:numRef>
          </c:val>
          <c:extLst>
            <c:ext xmlns:c16="http://schemas.microsoft.com/office/drawing/2014/chart" uri="{C3380CC4-5D6E-409C-BE32-E72D297353CC}">
              <c16:uniqueId val="{00000000-C35A-4EEB-83D8-99332A915E62}"/>
            </c:ext>
          </c:extLst>
        </c:ser>
        <c:ser>
          <c:idx val="1"/>
          <c:order val="1"/>
          <c:tx>
            <c:strRef>
              <c:f>'Paramètres et Résultats'!$AH$137</c:f>
              <c:strCache>
                <c:ptCount val="1"/>
                <c:pt idx="0">
                  <c:v>Avec CEE</c:v>
                </c:pt>
              </c:strCache>
            </c:strRef>
          </c:tx>
          <c:spPr>
            <a:solidFill>
              <a:schemeClr val="accent4">
                <a:lumMod val="75000"/>
              </a:schemeClr>
            </a:solidFill>
          </c:spPr>
          <c:invertIfNegative val="0"/>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Résultats'!$W$138:$W$141</c:f>
              <c:strCache>
                <c:ptCount val="4"/>
                <c:pt idx="0">
                  <c:v>Prioritaire</c:v>
                </c:pt>
                <c:pt idx="1">
                  <c:v>Ambitieux</c:v>
                </c:pt>
                <c:pt idx="2">
                  <c:v>Très ambitieux</c:v>
                </c:pt>
                <c:pt idx="3">
                  <c:v>Total</c:v>
                </c:pt>
              </c:strCache>
            </c:strRef>
          </c:cat>
          <c:val>
            <c:numRef>
              <c:f>'Paramètres et Résultats'!$AH$138:$AH$141</c:f>
              <c:numCache>
                <c:formatCode>0%</c:formatCode>
                <c:ptCount val="4"/>
                <c:pt idx="0">
                  <c:v>0.93259496627142235</c:v>
                </c:pt>
                <c:pt idx="1">
                  <c:v>0.41256409420701745</c:v>
                </c:pt>
                <c:pt idx="2">
                  <c:v>0.20777417758699501</c:v>
                </c:pt>
                <c:pt idx="3">
                  <c:v>0.41642694597061869</c:v>
                </c:pt>
              </c:numCache>
            </c:numRef>
          </c:val>
          <c:extLst>
            <c:ext xmlns:c16="http://schemas.microsoft.com/office/drawing/2014/chart" uri="{C3380CC4-5D6E-409C-BE32-E72D297353CC}">
              <c16:uniqueId val="{00000001-C35A-4EEB-83D8-99332A915E62}"/>
            </c:ext>
          </c:extLst>
        </c:ser>
        <c:dLbls>
          <c:showLegendKey val="0"/>
          <c:showVal val="0"/>
          <c:showCatName val="0"/>
          <c:showSerName val="0"/>
          <c:showPercent val="0"/>
          <c:showBubbleSize val="0"/>
        </c:dLbls>
        <c:gapWidth val="75"/>
        <c:axId val="163472384"/>
        <c:axId val="164141824"/>
      </c:barChart>
      <c:catAx>
        <c:axId val="163472384"/>
        <c:scaling>
          <c:orientation val="minMax"/>
        </c:scaling>
        <c:delete val="0"/>
        <c:axPos val="b"/>
        <c:numFmt formatCode="General" sourceLinked="0"/>
        <c:majorTickMark val="out"/>
        <c:minorTickMark val="none"/>
        <c:tickLblPos val="nextTo"/>
        <c:crossAx val="164141824"/>
        <c:crosses val="autoZero"/>
        <c:auto val="1"/>
        <c:lblAlgn val="ctr"/>
        <c:lblOffset val="100"/>
        <c:noMultiLvlLbl val="0"/>
      </c:catAx>
      <c:valAx>
        <c:axId val="164141824"/>
        <c:scaling>
          <c:orientation val="minMax"/>
        </c:scaling>
        <c:delete val="1"/>
        <c:axPos val="l"/>
        <c:numFmt formatCode="0%" sourceLinked="1"/>
        <c:majorTickMark val="out"/>
        <c:minorTickMark val="none"/>
        <c:tickLblPos val="nextTo"/>
        <c:crossAx val="163472384"/>
        <c:crosses val="autoZero"/>
        <c:crossBetween val="between"/>
      </c:valAx>
    </c:plotArea>
    <c:legend>
      <c:legendPos val="b"/>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Résultats'!$W$224</c:f>
          <c:strCache>
            <c:ptCount val="1"/>
            <c:pt idx="0">
              <c:v>Cumul brut en k€ sur 20 ans - Scénario de prix ''Personnalisé'' - TOTAL</c:v>
            </c:pt>
          </c:strCache>
        </c:strRef>
      </c:tx>
      <c:overlay val="0"/>
      <c:txPr>
        <a:bodyPr/>
        <a:lstStyle/>
        <a:p>
          <a:pPr>
            <a:defRPr sz="1200"/>
          </a:pPr>
          <a:endParaRPr lang="fr-FR"/>
        </a:p>
      </c:txPr>
    </c:title>
    <c:autoTitleDeleted val="0"/>
    <c:plotArea>
      <c:layout/>
      <c:barChart>
        <c:barDir val="col"/>
        <c:grouping val="stacked"/>
        <c:varyColors val="0"/>
        <c:ser>
          <c:idx val="0"/>
          <c:order val="0"/>
          <c:tx>
            <c:strRef>
              <c:f>'Plan d''actions'!$C$304</c:f>
              <c:strCache>
                <c:ptCount val="1"/>
                <c:pt idx="0">
                  <c:v>Investissements</c:v>
                </c:pt>
              </c:strCache>
            </c:strRef>
          </c:tx>
          <c:invertIfNegative val="0"/>
          <c:cat>
            <c:numRef>
              <c:f>'Plan d''actions'!$E$303:$Y$303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[0]!cumul_brut_invest1</c:f>
              <c:numCache>
                <c:formatCode>#,##0</c:formatCode>
                <c:ptCount val="21"/>
                <c:pt idx="0">
                  <c:v>-534325</c:v>
                </c:pt>
              </c:numCache>
            </c:numRef>
          </c:val>
          <c:extLst>
            <c:ext xmlns:c16="http://schemas.microsoft.com/office/drawing/2014/chart" uri="{C3380CC4-5D6E-409C-BE32-E72D297353CC}">
              <c16:uniqueId val="{00000000-1B4F-42F9-8465-6D610070F160}"/>
            </c:ext>
          </c:extLst>
        </c:ser>
        <c:ser>
          <c:idx val="3"/>
          <c:order val="1"/>
          <c:tx>
            <c:strRef>
              <c:f>'Plan d''actions'!$C$305</c:f>
              <c:strCache>
                <c:ptCount val="1"/>
                <c:pt idx="0">
                  <c:v>dont CEE</c:v>
                </c:pt>
              </c:strCache>
            </c:strRef>
          </c:tx>
          <c:invertIfNegative val="0"/>
          <c:val>
            <c:numRef>
              <c:f>[0]!cumul_brut_CEE1</c:f>
              <c:numCache>
                <c:formatCode>#,##0</c:formatCode>
                <c:ptCount val="21"/>
                <c:pt idx="0">
                  <c:v>-34575</c:v>
                </c:pt>
              </c:numCache>
            </c:numRef>
          </c:val>
          <c:extLst>
            <c:ext xmlns:c16="http://schemas.microsoft.com/office/drawing/2014/chart" uri="{C3380CC4-5D6E-409C-BE32-E72D297353CC}">
              <c16:uniqueId val="{00000001-1B4F-42F9-8465-6D610070F160}"/>
            </c:ext>
          </c:extLst>
        </c:ser>
        <c:ser>
          <c:idx val="1"/>
          <c:order val="2"/>
          <c:tx>
            <c:strRef>
              <c:f>'Plan d''actions'!$C$306</c:f>
              <c:strCache>
                <c:ptCount val="1"/>
                <c:pt idx="0">
                  <c:v>Gains en énergie</c:v>
                </c:pt>
              </c:strCache>
            </c:strRef>
          </c:tx>
          <c:invertIfNegative val="0"/>
          <c:val>
            <c:numRef>
              <c:f>[0]!cumul_brut_energie1</c:f>
              <c:numCache>
                <c:formatCode>#,##0</c:formatCode>
                <c:ptCount val="21"/>
                <c:pt idx="1">
                  <c:v>199809.25555555554</c:v>
                </c:pt>
                <c:pt idx="2">
                  <c:v>209799.71833333335</c:v>
                </c:pt>
                <c:pt idx="3">
                  <c:v>220289.70424999998</c:v>
                </c:pt>
                <c:pt idx="4">
                  <c:v>231304.18946250001</c:v>
                </c:pt>
                <c:pt idx="5">
                  <c:v>242869.39893562504</c:v>
                </c:pt>
                <c:pt idx="6">
                  <c:v>255012.8688824063</c:v>
                </c:pt>
                <c:pt idx="7">
                  <c:v>267763.51232652663</c:v>
                </c:pt>
                <c:pt idx="8">
                  <c:v>281151.68794285296</c:v>
                </c:pt>
                <c:pt idx="9">
                  <c:v>295209.2723399956</c:v>
                </c:pt>
                <c:pt idx="10">
                  <c:v>309969.7359569954</c:v>
                </c:pt>
                <c:pt idx="11">
                  <c:v>325468.22275484528</c:v>
                </c:pt>
                <c:pt idx="12">
                  <c:v>341741.63389258739</c:v>
                </c:pt>
                <c:pt idx="13">
                  <c:v>358828.71558721684</c:v>
                </c:pt>
                <c:pt idx="14">
                  <c:v>376770.15136657777</c:v>
                </c:pt>
                <c:pt idx="15">
                  <c:v>395608.65893490671</c:v>
                </c:pt>
                <c:pt idx="16">
                  <c:v>415389.09188165207</c:v>
                </c:pt>
                <c:pt idx="17">
                  <c:v>436158.54647573474</c:v>
                </c:pt>
                <c:pt idx="18">
                  <c:v>457966.47379952145</c:v>
                </c:pt>
                <c:pt idx="19">
                  <c:v>480864.79748949746</c:v>
                </c:pt>
                <c:pt idx="20">
                  <c:v>504908.03736397234</c:v>
                </c:pt>
              </c:numCache>
            </c:numRef>
          </c:val>
          <c:extLst>
            <c:ext xmlns:c16="http://schemas.microsoft.com/office/drawing/2014/chart" uri="{C3380CC4-5D6E-409C-BE32-E72D297353CC}">
              <c16:uniqueId val="{00000002-1B4F-42F9-8465-6D610070F160}"/>
            </c:ext>
          </c:extLst>
        </c:ser>
        <c:ser>
          <c:idx val="2"/>
          <c:order val="3"/>
          <c:tx>
            <c:strRef>
              <c:f>'Plan d''actions'!$C$307</c:f>
              <c:strCache>
                <c:ptCount val="1"/>
                <c:pt idx="0">
                  <c:v>Cout récurrent</c:v>
                </c:pt>
              </c:strCache>
            </c:strRef>
          </c:tx>
          <c:invertIfNegative val="0"/>
          <c:val>
            <c:numRef>
              <c:f>[0]!cumul_brut_rec1</c:f>
              <c:numCache>
                <c:formatCode>#,##0</c:formatCode>
                <c:ptCount val="21"/>
                <c:pt idx="1">
                  <c:v>-4000</c:v>
                </c:pt>
                <c:pt idx="2">
                  <c:v>-4000</c:v>
                </c:pt>
                <c:pt idx="3">
                  <c:v>-4000</c:v>
                </c:pt>
                <c:pt idx="4">
                  <c:v>-4000</c:v>
                </c:pt>
                <c:pt idx="5">
                  <c:v>-4000</c:v>
                </c:pt>
                <c:pt idx="6">
                  <c:v>-4000</c:v>
                </c:pt>
                <c:pt idx="7">
                  <c:v>-4000</c:v>
                </c:pt>
                <c:pt idx="8">
                  <c:v>-4000</c:v>
                </c:pt>
                <c:pt idx="9">
                  <c:v>-4000</c:v>
                </c:pt>
                <c:pt idx="10">
                  <c:v>-4000</c:v>
                </c:pt>
                <c:pt idx="11">
                  <c:v>-4000</c:v>
                </c:pt>
                <c:pt idx="12">
                  <c:v>-4000</c:v>
                </c:pt>
                <c:pt idx="13">
                  <c:v>-4000</c:v>
                </c:pt>
                <c:pt idx="14">
                  <c:v>-4000</c:v>
                </c:pt>
                <c:pt idx="15">
                  <c:v>-4000</c:v>
                </c:pt>
                <c:pt idx="16">
                  <c:v>-4000</c:v>
                </c:pt>
                <c:pt idx="17">
                  <c:v>-4000</c:v>
                </c:pt>
                <c:pt idx="18">
                  <c:v>-4000</c:v>
                </c:pt>
                <c:pt idx="19">
                  <c:v>-4000</c:v>
                </c:pt>
                <c:pt idx="20">
                  <c:v>-4000</c:v>
                </c:pt>
              </c:numCache>
            </c:numRef>
          </c:val>
          <c:extLst>
            <c:ext xmlns:c16="http://schemas.microsoft.com/office/drawing/2014/chart" uri="{C3380CC4-5D6E-409C-BE32-E72D297353CC}">
              <c16:uniqueId val="{00000003-1B4F-42F9-8465-6D610070F160}"/>
            </c:ext>
          </c:extLst>
        </c:ser>
        <c:dLbls>
          <c:showLegendKey val="0"/>
          <c:showVal val="0"/>
          <c:showCatName val="0"/>
          <c:showSerName val="0"/>
          <c:showPercent val="0"/>
          <c:showBubbleSize val="0"/>
        </c:dLbls>
        <c:gapWidth val="150"/>
        <c:overlap val="100"/>
        <c:axId val="163472896"/>
        <c:axId val="164136064"/>
      </c:barChart>
      <c:lineChart>
        <c:grouping val="standard"/>
        <c:varyColors val="0"/>
        <c:ser>
          <c:idx val="4"/>
          <c:order val="4"/>
          <c:tx>
            <c:strRef>
              <c:f>'Plan d''actions'!$C$309</c:f>
              <c:strCache>
                <c:ptCount val="1"/>
                <c:pt idx="0">
                  <c:v>Cumul</c:v>
                </c:pt>
              </c:strCache>
            </c:strRef>
          </c:tx>
          <c:spPr>
            <a:ln>
              <a:solidFill>
                <a:schemeClr val="tx2"/>
              </a:solidFill>
            </a:ln>
          </c:spPr>
          <c:marker>
            <c:symbol val="none"/>
          </c:marker>
          <c:val>
            <c:numRef>
              <c:f>[0]!cumul_brut_tot1</c:f>
              <c:numCache>
                <c:formatCode>#,##0</c:formatCode>
                <c:ptCount val="21"/>
                <c:pt idx="0">
                  <c:v>-534325</c:v>
                </c:pt>
                <c:pt idx="1">
                  <c:v>-338515.74444444443</c:v>
                </c:pt>
                <c:pt idx="2">
                  <c:v>-132716.02611111107</c:v>
                </c:pt>
                <c:pt idx="3">
                  <c:v>83573.678138888907</c:v>
                </c:pt>
                <c:pt idx="4">
                  <c:v>310877.86760138895</c:v>
                </c:pt>
                <c:pt idx="5">
                  <c:v>549747.26653701393</c:v>
                </c:pt>
                <c:pt idx="6">
                  <c:v>800760.1354194202</c:v>
                </c:pt>
                <c:pt idx="7">
                  <c:v>1064523.6477459469</c:v>
                </c:pt>
                <c:pt idx="8">
                  <c:v>1341675.3356887999</c:v>
                </c:pt>
                <c:pt idx="9">
                  <c:v>1632884.6080287956</c:v>
                </c:pt>
                <c:pt idx="10">
                  <c:v>1938854.3439857909</c:v>
                </c:pt>
                <c:pt idx="11">
                  <c:v>2260322.5667406362</c:v>
                </c:pt>
                <c:pt idx="12">
                  <c:v>2598064.2006332236</c:v>
                </c:pt>
                <c:pt idx="13">
                  <c:v>2952892.9162204405</c:v>
                </c:pt>
                <c:pt idx="14">
                  <c:v>3325663.0675870185</c:v>
                </c:pt>
                <c:pt idx="15">
                  <c:v>3717271.7265219251</c:v>
                </c:pt>
                <c:pt idx="16">
                  <c:v>4128660.818403577</c:v>
                </c:pt>
                <c:pt idx="17">
                  <c:v>4560819.364879312</c:v>
                </c:pt>
                <c:pt idx="18">
                  <c:v>5014785.8386788331</c:v>
                </c:pt>
                <c:pt idx="19">
                  <c:v>5491650.6361683309</c:v>
                </c:pt>
                <c:pt idx="20">
                  <c:v>5992558.6735323034</c:v>
                </c:pt>
              </c:numCache>
            </c:numRef>
          </c:val>
          <c:smooth val="0"/>
          <c:extLst>
            <c:ext xmlns:c16="http://schemas.microsoft.com/office/drawing/2014/chart" uri="{C3380CC4-5D6E-409C-BE32-E72D297353CC}">
              <c16:uniqueId val="{00000004-1B4F-42F9-8465-6D610070F160}"/>
            </c:ext>
          </c:extLst>
        </c:ser>
        <c:dLbls>
          <c:showLegendKey val="0"/>
          <c:showVal val="0"/>
          <c:showCatName val="0"/>
          <c:showSerName val="0"/>
          <c:showPercent val="0"/>
          <c:showBubbleSize val="0"/>
        </c:dLbls>
        <c:marker val="1"/>
        <c:smooth val="0"/>
        <c:axId val="163472896"/>
        <c:axId val="164136064"/>
      </c:lineChart>
      <c:catAx>
        <c:axId val="163472896"/>
        <c:scaling>
          <c:orientation val="minMax"/>
        </c:scaling>
        <c:delete val="0"/>
        <c:axPos val="b"/>
        <c:numFmt formatCode="General" sourceLinked="1"/>
        <c:majorTickMark val="out"/>
        <c:minorTickMark val="none"/>
        <c:tickLblPos val="nextTo"/>
        <c:crossAx val="164136064"/>
        <c:crosses val="autoZero"/>
        <c:auto val="1"/>
        <c:lblAlgn val="ctr"/>
        <c:lblOffset val="100"/>
        <c:noMultiLvlLbl val="0"/>
      </c:catAx>
      <c:valAx>
        <c:axId val="164136064"/>
        <c:scaling>
          <c:orientation val="minMax"/>
        </c:scaling>
        <c:delete val="0"/>
        <c:axPos val="l"/>
        <c:majorGridlines/>
        <c:numFmt formatCode="#,##0,\k&quot;€&quot;;[Red]\-#,##0,\k&quot;€&quot;" sourceLinked="0"/>
        <c:majorTickMark val="out"/>
        <c:minorTickMark val="none"/>
        <c:tickLblPos val="nextTo"/>
        <c:crossAx val="163472896"/>
        <c:crosses val="autoZero"/>
        <c:crossBetween val="between"/>
      </c:valAx>
    </c:plotArea>
    <c:legend>
      <c:legendPos val="b"/>
      <c:overlay val="0"/>
    </c:legend>
    <c:plotVisOnly val="0"/>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Résultats'!$W$225</c:f>
          <c:strCache>
            <c:ptCount val="1"/>
            <c:pt idx="0">
              <c:v>Cumul actualisé en k€ sur 20 ans - Scénario de prix ''Personnalisé'' - TOTAL - Taux d'actualisation de 10%</c:v>
            </c:pt>
          </c:strCache>
        </c:strRef>
      </c:tx>
      <c:overlay val="0"/>
      <c:txPr>
        <a:bodyPr/>
        <a:lstStyle/>
        <a:p>
          <a:pPr>
            <a:defRPr sz="1200"/>
          </a:pPr>
          <a:endParaRPr lang="fr-FR"/>
        </a:p>
      </c:txPr>
    </c:title>
    <c:autoTitleDeleted val="0"/>
    <c:plotArea>
      <c:layout/>
      <c:barChart>
        <c:barDir val="col"/>
        <c:grouping val="stacked"/>
        <c:varyColors val="0"/>
        <c:ser>
          <c:idx val="0"/>
          <c:order val="0"/>
          <c:tx>
            <c:strRef>
              <c:f>'Plan d''actions'!$C$304</c:f>
              <c:strCache>
                <c:ptCount val="1"/>
                <c:pt idx="0">
                  <c:v>Investissements</c:v>
                </c:pt>
              </c:strCache>
            </c:strRef>
          </c:tx>
          <c:invertIfNegative val="0"/>
          <c:cat>
            <c:numRef>
              <c:f>'Plan d''actions'!$E$303:$Y$303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[0]!cumul_act_invest1</c:f>
              <c:numCache>
                <c:formatCode>#,##0</c:formatCode>
                <c:ptCount val="21"/>
                <c:pt idx="0">
                  <c:v>-534325</c:v>
                </c:pt>
              </c:numCache>
            </c:numRef>
          </c:val>
          <c:extLst>
            <c:ext xmlns:c16="http://schemas.microsoft.com/office/drawing/2014/chart" uri="{C3380CC4-5D6E-409C-BE32-E72D297353CC}">
              <c16:uniqueId val="{00000000-7E16-4506-8070-1D5C7AD0C5E4}"/>
            </c:ext>
          </c:extLst>
        </c:ser>
        <c:ser>
          <c:idx val="3"/>
          <c:order val="1"/>
          <c:tx>
            <c:strRef>
              <c:f>'Plan d''actions'!$C$305</c:f>
              <c:strCache>
                <c:ptCount val="1"/>
                <c:pt idx="0">
                  <c:v>dont CEE</c:v>
                </c:pt>
              </c:strCache>
            </c:strRef>
          </c:tx>
          <c:invertIfNegative val="0"/>
          <c:val>
            <c:numRef>
              <c:f>[0]!cumul_act_cee1</c:f>
              <c:numCache>
                <c:formatCode>#,##0</c:formatCode>
                <c:ptCount val="21"/>
                <c:pt idx="0">
                  <c:v>-34575</c:v>
                </c:pt>
              </c:numCache>
            </c:numRef>
          </c:val>
          <c:extLst>
            <c:ext xmlns:c16="http://schemas.microsoft.com/office/drawing/2014/chart" uri="{C3380CC4-5D6E-409C-BE32-E72D297353CC}">
              <c16:uniqueId val="{00000001-7E16-4506-8070-1D5C7AD0C5E4}"/>
            </c:ext>
          </c:extLst>
        </c:ser>
        <c:ser>
          <c:idx val="1"/>
          <c:order val="2"/>
          <c:tx>
            <c:strRef>
              <c:f>'Plan d''actions'!$C$306</c:f>
              <c:strCache>
                <c:ptCount val="1"/>
                <c:pt idx="0">
                  <c:v>Gains en énergie</c:v>
                </c:pt>
              </c:strCache>
            </c:strRef>
          </c:tx>
          <c:invertIfNegative val="0"/>
          <c:val>
            <c:numRef>
              <c:f>[0]!cumul_act_energie1</c:f>
              <c:numCache>
                <c:formatCode>#,##0</c:formatCode>
                <c:ptCount val="21"/>
                <c:pt idx="1">
                  <c:v>181644.77777777775</c:v>
                </c:pt>
                <c:pt idx="2">
                  <c:v>173388.19696969696</c:v>
                </c:pt>
                <c:pt idx="3">
                  <c:v>165506.91528925614</c:v>
                </c:pt>
                <c:pt idx="4">
                  <c:v>157983.87368519907</c:v>
                </c:pt>
                <c:pt idx="5">
                  <c:v>150802.78851769</c:v>
                </c:pt>
                <c:pt idx="6">
                  <c:v>143948.11631234048</c:v>
                </c:pt>
                <c:pt idx="7">
                  <c:v>137405.02011632497</c:v>
                </c:pt>
                <c:pt idx="8">
                  <c:v>131159.33738376477</c:v>
                </c:pt>
                <c:pt idx="9">
                  <c:v>125197.54932086635</c:v>
                </c:pt>
                <c:pt idx="10">
                  <c:v>119506.75162446333</c:v>
                </c:pt>
                <c:pt idx="11">
                  <c:v>114074.6265506241</c:v>
                </c:pt>
                <c:pt idx="12">
                  <c:v>108889.41625286842</c:v>
                </c:pt>
                <c:pt idx="13">
                  <c:v>103939.89733228352</c:v>
                </c:pt>
                <c:pt idx="14">
                  <c:v>99215.356544452443</c:v>
                </c:pt>
                <c:pt idx="15">
                  <c:v>94705.567610613711</c:v>
                </c:pt>
                <c:pt idx="16">
                  <c:v>90400.769082858547</c:v>
                </c:pt>
                <c:pt idx="17">
                  <c:v>86291.643215455886</c:v>
                </c:pt>
                <c:pt idx="18">
                  <c:v>82369.295796571518</c:v>
                </c:pt>
                <c:pt idx="19">
                  <c:v>78625.236896727336</c:v>
                </c:pt>
                <c:pt idx="20">
                  <c:v>75051.362492330649</c:v>
                </c:pt>
              </c:numCache>
            </c:numRef>
          </c:val>
          <c:extLst>
            <c:ext xmlns:c16="http://schemas.microsoft.com/office/drawing/2014/chart" uri="{C3380CC4-5D6E-409C-BE32-E72D297353CC}">
              <c16:uniqueId val="{00000002-7E16-4506-8070-1D5C7AD0C5E4}"/>
            </c:ext>
          </c:extLst>
        </c:ser>
        <c:ser>
          <c:idx val="2"/>
          <c:order val="3"/>
          <c:tx>
            <c:strRef>
              <c:f>'Plan d''actions'!$C$307</c:f>
              <c:strCache>
                <c:ptCount val="1"/>
                <c:pt idx="0">
                  <c:v>Cout récurrent</c:v>
                </c:pt>
              </c:strCache>
            </c:strRef>
          </c:tx>
          <c:invertIfNegative val="0"/>
          <c:val>
            <c:numRef>
              <c:f>[0]!cumul_act_rec1</c:f>
              <c:numCache>
                <c:formatCode>#,##0</c:formatCode>
                <c:ptCount val="21"/>
                <c:pt idx="1">
                  <c:v>-3636.363636363636</c:v>
                </c:pt>
                <c:pt idx="2">
                  <c:v>-3305.7851239669417</c:v>
                </c:pt>
                <c:pt idx="3">
                  <c:v>-3005.2592036063102</c:v>
                </c:pt>
                <c:pt idx="4">
                  <c:v>-2732.0538214602821</c:v>
                </c:pt>
                <c:pt idx="5">
                  <c:v>-2483.6852922366197</c:v>
                </c:pt>
                <c:pt idx="6">
                  <c:v>-2257.8957202151087</c:v>
                </c:pt>
                <c:pt idx="7">
                  <c:v>-2052.6324729228259</c:v>
                </c:pt>
                <c:pt idx="8">
                  <c:v>-1866.0295208389325</c:v>
                </c:pt>
                <c:pt idx="9">
                  <c:v>-1696.3904734899386</c:v>
                </c:pt>
                <c:pt idx="10">
                  <c:v>-1542.1731577181258</c:v>
                </c:pt>
                <c:pt idx="11">
                  <c:v>-1401.9755979255688</c:v>
                </c:pt>
                <c:pt idx="12">
                  <c:v>-1274.5232708414262</c:v>
                </c:pt>
                <c:pt idx="13">
                  <c:v>-1158.6575189467512</c:v>
                </c:pt>
                <c:pt idx="14">
                  <c:v>-1053.325017224319</c:v>
                </c:pt>
                <c:pt idx="15">
                  <c:v>-957.56819747665361</c:v>
                </c:pt>
                <c:pt idx="16">
                  <c:v>-870.5165431605941</c:v>
                </c:pt>
                <c:pt idx="17">
                  <c:v>-791.37867560054008</c:v>
                </c:pt>
                <c:pt idx="18">
                  <c:v>-719.43515963685456</c:v>
                </c:pt>
                <c:pt idx="19">
                  <c:v>-654.03196330623121</c:v>
                </c:pt>
                <c:pt idx="20">
                  <c:v>-594.57451209657393</c:v>
                </c:pt>
              </c:numCache>
            </c:numRef>
          </c:val>
          <c:extLst>
            <c:ext xmlns:c16="http://schemas.microsoft.com/office/drawing/2014/chart" uri="{C3380CC4-5D6E-409C-BE32-E72D297353CC}">
              <c16:uniqueId val="{00000003-7E16-4506-8070-1D5C7AD0C5E4}"/>
            </c:ext>
          </c:extLst>
        </c:ser>
        <c:dLbls>
          <c:showLegendKey val="0"/>
          <c:showVal val="0"/>
          <c:showCatName val="0"/>
          <c:showSerName val="0"/>
          <c:showPercent val="0"/>
          <c:showBubbleSize val="0"/>
        </c:dLbls>
        <c:gapWidth val="150"/>
        <c:overlap val="100"/>
        <c:axId val="163901952"/>
        <c:axId val="164136640"/>
      </c:barChart>
      <c:lineChart>
        <c:grouping val="standard"/>
        <c:varyColors val="0"/>
        <c:ser>
          <c:idx val="4"/>
          <c:order val="4"/>
          <c:tx>
            <c:strRef>
              <c:f>'Plan d''actions'!$C$309</c:f>
              <c:strCache>
                <c:ptCount val="1"/>
                <c:pt idx="0">
                  <c:v>Cumul</c:v>
                </c:pt>
              </c:strCache>
            </c:strRef>
          </c:tx>
          <c:spPr>
            <a:ln>
              <a:solidFill>
                <a:schemeClr val="tx2"/>
              </a:solidFill>
            </a:ln>
          </c:spPr>
          <c:marker>
            <c:symbol val="none"/>
          </c:marker>
          <c:val>
            <c:numRef>
              <c:f>[0]!cumul_act_tot1</c:f>
              <c:numCache>
                <c:formatCode>#,##0</c:formatCode>
                <c:ptCount val="21"/>
                <c:pt idx="0">
                  <c:v>-534325</c:v>
                </c:pt>
                <c:pt idx="1">
                  <c:v>-356316.5858585859</c:v>
                </c:pt>
                <c:pt idx="2">
                  <c:v>-186234.17401285589</c:v>
                </c:pt>
                <c:pt idx="3">
                  <c:v>-23732.517927206063</c:v>
                </c:pt>
                <c:pt idx="4">
                  <c:v>131519.30193653272</c:v>
                </c:pt>
                <c:pt idx="5">
                  <c:v>279838.40516198613</c:v>
                </c:pt>
                <c:pt idx="6">
                  <c:v>421528.6257541115</c:v>
                </c:pt>
                <c:pt idx="7">
                  <c:v>556881.01339751366</c:v>
                </c:pt>
                <c:pt idx="8">
                  <c:v>686174.32126043946</c:v>
                </c:pt>
                <c:pt idx="9">
                  <c:v>809675.48010781594</c:v>
                </c:pt>
                <c:pt idx="10">
                  <c:v>927640.05857456115</c:v>
                </c:pt>
                <c:pt idx="11">
                  <c:v>1040312.7095272597</c:v>
                </c:pt>
                <c:pt idx="12">
                  <c:v>1147927.6025092867</c:v>
                </c:pt>
                <c:pt idx="13">
                  <c:v>1250708.8423226236</c:v>
                </c:pt>
                <c:pt idx="14">
                  <c:v>1348870.8738498518</c:v>
                </c:pt>
                <c:pt idx="15">
                  <c:v>1442618.8732629889</c:v>
                </c:pt>
                <c:pt idx="16">
                  <c:v>1532149.1258026869</c:v>
                </c:pt>
                <c:pt idx="17">
                  <c:v>1617649.3903425422</c:v>
                </c:pt>
                <c:pt idx="18">
                  <c:v>1699299.2509794768</c:v>
                </c:pt>
                <c:pt idx="19">
                  <c:v>1777270.4559128978</c:v>
                </c:pt>
                <c:pt idx="20">
                  <c:v>1851727.2438931318</c:v>
                </c:pt>
              </c:numCache>
            </c:numRef>
          </c:val>
          <c:smooth val="0"/>
          <c:extLst>
            <c:ext xmlns:c16="http://schemas.microsoft.com/office/drawing/2014/chart" uri="{C3380CC4-5D6E-409C-BE32-E72D297353CC}">
              <c16:uniqueId val="{00000004-7E16-4506-8070-1D5C7AD0C5E4}"/>
            </c:ext>
          </c:extLst>
        </c:ser>
        <c:dLbls>
          <c:showLegendKey val="0"/>
          <c:showVal val="0"/>
          <c:showCatName val="0"/>
          <c:showSerName val="0"/>
          <c:showPercent val="0"/>
          <c:showBubbleSize val="0"/>
        </c:dLbls>
        <c:marker val="1"/>
        <c:smooth val="0"/>
        <c:axId val="163901952"/>
        <c:axId val="164136640"/>
      </c:lineChart>
      <c:catAx>
        <c:axId val="163901952"/>
        <c:scaling>
          <c:orientation val="minMax"/>
        </c:scaling>
        <c:delete val="0"/>
        <c:axPos val="b"/>
        <c:numFmt formatCode="General" sourceLinked="1"/>
        <c:majorTickMark val="out"/>
        <c:minorTickMark val="none"/>
        <c:tickLblPos val="nextTo"/>
        <c:crossAx val="164136640"/>
        <c:crosses val="autoZero"/>
        <c:auto val="1"/>
        <c:lblAlgn val="ctr"/>
        <c:lblOffset val="100"/>
        <c:noMultiLvlLbl val="0"/>
      </c:catAx>
      <c:valAx>
        <c:axId val="164136640"/>
        <c:scaling>
          <c:orientation val="minMax"/>
        </c:scaling>
        <c:delete val="0"/>
        <c:axPos val="l"/>
        <c:majorGridlines/>
        <c:numFmt formatCode="#,##0,\k&quot;€&quot;;[Red]\-#,##0,\k&quot;€&quot;" sourceLinked="0"/>
        <c:majorTickMark val="out"/>
        <c:minorTickMark val="none"/>
        <c:tickLblPos val="nextTo"/>
        <c:crossAx val="163901952"/>
        <c:crosses val="autoZero"/>
        <c:crossBetween val="between"/>
      </c:valAx>
    </c:plotArea>
    <c:legend>
      <c:legendPos val="b"/>
      <c:overlay val="0"/>
    </c:legend>
    <c:plotVisOnly val="0"/>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Résultats'!$W$204</c:f>
          <c:strCache>
            <c:ptCount val="1"/>
            <c:pt idx="0">
              <c:v>Cumul brut en k€ sur 20 ans - Scénario de prix ''Personnalisé'' - Action 6</c:v>
            </c:pt>
          </c:strCache>
        </c:strRef>
      </c:tx>
      <c:overlay val="0"/>
      <c:txPr>
        <a:bodyPr/>
        <a:lstStyle/>
        <a:p>
          <a:pPr>
            <a:defRPr sz="1200"/>
          </a:pPr>
          <a:endParaRPr lang="fr-FR"/>
        </a:p>
      </c:txPr>
    </c:title>
    <c:autoTitleDeleted val="0"/>
    <c:plotArea>
      <c:layout/>
      <c:barChart>
        <c:barDir val="col"/>
        <c:grouping val="stacked"/>
        <c:varyColors val="0"/>
        <c:ser>
          <c:idx val="0"/>
          <c:order val="0"/>
          <c:tx>
            <c:strRef>
              <c:f>'Plan d''actions'!$C$304</c:f>
              <c:strCache>
                <c:ptCount val="1"/>
                <c:pt idx="0">
                  <c:v>Investissements</c:v>
                </c:pt>
              </c:strCache>
            </c:strRef>
          </c:tx>
          <c:invertIfNegative val="0"/>
          <c:cat>
            <c:numRef>
              <c:f>'Plan d''actions'!$E$303:$Y$303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[0]!cumul_brut_invest2</c:f>
              <c:numCache>
                <c:formatCode>#,##0</c:formatCode>
                <c:ptCount val="21"/>
                <c:pt idx="0">
                  <c:v>-62100</c:v>
                </c:pt>
              </c:numCache>
            </c:numRef>
          </c:val>
          <c:extLst>
            <c:ext xmlns:c16="http://schemas.microsoft.com/office/drawing/2014/chart" uri="{C3380CC4-5D6E-409C-BE32-E72D297353CC}">
              <c16:uniqueId val="{00000000-9912-4649-96F2-F193CD49BE65}"/>
            </c:ext>
          </c:extLst>
        </c:ser>
        <c:ser>
          <c:idx val="3"/>
          <c:order val="1"/>
          <c:tx>
            <c:strRef>
              <c:f>'Plan d''actions'!$C$305</c:f>
              <c:strCache>
                <c:ptCount val="1"/>
                <c:pt idx="0">
                  <c:v>dont CEE</c:v>
                </c:pt>
              </c:strCache>
            </c:strRef>
          </c:tx>
          <c:invertIfNegative val="0"/>
          <c:val>
            <c:numRef>
              <c:f>[0]!cumul_brut_cee2</c:f>
              <c:numCache>
                <c:formatCode>#,##0</c:formatCode>
                <c:ptCount val="21"/>
                <c:pt idx="0">
                  <c:v>0</c:v>
                </c:pt>
              </c:numCache>
            </c:numRef>
          </c:val>
          <c:extLst>
            <c:ext xmlns:c16="http://schemas.microsoft.com/office/drawing/2014/chart" uri="{C3380CC4-5D6E-409C-BE32-E72D297353CC}">
              <c16:uniqueId val="{00000001-9912-4649-96F2-F193CD49BE65}"/>
            </c:ext>
          </c:extLst>
        </c:ser>
        <c:ser>
          <c:idx val="1"/>
          <c:order val="2"/>
          <c:tx>
            <c:strRef>
              <c:f>'Plan d''actions'!$C$306</c:f>
              <c:strCache>
                <c:ptCount val="1"/>
                <c:pt idx="0">
                  <c:v>Gains en énergie</c:v>
                </c:pt>
              </c:strCache>
            </c:strRef>
          </c:tx>
          <c:invertIfNegative val="0"/>
          <c:val>
            <c:numRef>
              <c:f>[0]!cumul_brut_energie2</c:f>
              <c:numCache>
                <c:formatCode>#,##0</c:formatCode>
                <c:ptCount val="21"/>
                <c:pt idx="1">
                  <c:v>17582.222222222223</c:v>
                </c:pt>
                <c:pt idx="2">
                  <c:v>18461.333333333336</c:v>
                </c:pt>
                <c:pt idx="3">
                  <c:v>19384.400000000001</c:v>
                </c:pt>
                <c:pt idx="4">
                  <c:v>20353.620000000003</c:v>
                </c:pt>
                <c:pt idx="5">
                  <c:v>21371.301000000003</c:v>
                </c:pt>
                <c:pt idx="6">
                  <c:v>22439.866050000008</c:v>
                </c:pt>
                <c:pt idx="7">
                  <c:v>23561.859352500007</c:v>
                </c:pt>
                <c:pt idx="8">
                  <c:v>24739.952320125009</c:v>
                </c:pt>
                <c:pt idx="9">
                  <c:v>25976.949936131259</c:v>
                </c:pt>
                <c:pt idx="10">
                  <c:v>27275.797432937823</c:v>
                </c:pt>
                <c:pt idx="11">
                  <c:v>28639.587304584715</c:v>
                </c:pt>
                <c:pt idx="12">
                  <c:v>30071.56666981395</c:v>
                </c:pt>
                <c:pt idx="13">
                  <c:v>31575.145003304653</c:v>
                </c:pt>
                <c:pt idx="14">
                  <c:v>33153.902253469889</c:v>
                </c:pt>
                <c:pt idx="15">
                  <c:v>34811.597366143382</c:v>
                </c:pt>
                <c:pt idx="16">
                  <c:v>36552.177234450559</c:v>
                </c:pt>
                <c:pt idx="17">
                  <c:v>38379.786096173084</c:v>
                </c:pt>
                <c:pt idx="18">
                  <c:v>40298.775400981744</c:v>
                </c:pt>
                <c:pt idx="19">
                  <c:v>42313.714171030828</c:v>
                </c:pt>
                <c:pt idx="20">
                  <c:v>44429.399879582372</c:v>
                </c:pt>
              </c:numCache>
            </c:numRef>
          </c:val>
          <c:extLst>
            <c:ext xmlns:c16="http://schemas.microsoft.com/office/drawing/2014/chart" uri="{C3380CC4-5D6E-409C-BE32-E72D297353CC}">
              <c16:uniqueId val="{00000002-9912-4649-96F2-F193CD49BE65}"/>
            </c:ext>
          </c:extLst>
        </c:ser>
        <c:ser>
          <c:idx val="2"/>
          <c:order val="3"/>
          <c:tx>
            <c:strRef>
              <c:f>'Plan d''actions'!$C$307</c:f>
              <c:strCache>
                <c:ptCount val="1"/>
                <c:pt idx="0">
                  <c:v>Cout récurrent</c:v>
                </c:pt>
              </c:strCache>
            </c:strRef>
          </c:tx>
          <c:invertIfNegative val="0"/>
          <c:val>
            <c:numRef>
              <c:f>[0]!cumul_brut_rec2</c:f>
              <c:numCache>
                <c:formatCode>#,##0</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9912-4649-96F2-F193CD49BE65}"/>
            </c:ext>
          </c:extLst>
        </c:ser>
        <c:dLbls>
          <c:showLegendKey val="0"/>
          <c:showVal val="0"/>
          <c:showCatName val="0"/>
          <c:showSerName val="0"/>
          <c:showPercent val="0"/>
          <c:showBubbleSize val="0"/>
        </c:dLbls>
        <c:gapWidth val="150"/>
        <c:overlap val="100"/>
        <c:axId val="163474432"/>
        <c:axId val="166663232"/>
      </c:barChart>
      <c:lineChart>
        <c:grouping val="standard"/>
        <c:varyColors val="0"/>
        <c:ser>
          <c:idx val="4"/>
          <c:order val="4"/>
          <c:tx>
            <c:strRef>
              <c:f>'Plan d''actions'!$C$309</c:f>
              <c:strCache>
                <c:ptCount val="1"/>
                <c:pt idx="0">
                  <c:v>Cumul</c:v>
                </c:pt>
              </c:strCache>
            </c:strRef>
          </c:tx>
          <c:spPr>
            <a:ln>
              <a:solidFill>
                <a:schemeClr val="tx2"/>
              </a:solidFill>
            </a:ln>
          </c:spPr>
          <c:marker>
            <c:symbol val="none"/>
          </c:marker>
          <c:val>
            <c:numRef>
              <c:f>[0]!cumul_brut_tot2</c:f>
              <c:numCache>
                <c:formatCode>#,##0</c:formatCode>
                <c:ptCount val="21"/>
                <c:pt idx="0">
                  <c:v>-62100</c:v>
                </c:pt>
                <c:pt idx="1">
                  <c:v>-44517.777777777781</c:v>
                </c:pt>
                <c:pt idx="2">
                  <c:v>-26056.444444444445</c:v>
                </c:pt>
                <c:pt idx="3">
                  <c:v>-6672.0444444444438</c:v>
                </c:pt>
                <c:pt idx="4">
                  <c:v>13681.575555555559</c:v>
                </c:pt>
                <c:pt idx="5">
                  <c:v>35052.876555555558</c:v>
                </c:pt>
                <c:pt idx="6">
                  <c:v>57492.74260555557</c:v>
                </c:pt>
                <c:pt idx="7">
                  <c:v>81054.601958055573</c:v>
                </c:pt>
                <c:pt idx="8">
                  <c:v>105794.55427818059</c:v>
                </c:pt>
                <c:pt idx="9">
                  <c:v>131771.50421431183</c:v>
                </c:pt>
                <c:pt idx="10">
                  <c:v>159047.30164724967</c:v>
                </c:pt>
                <c:pt idx="11">
                  <c:v>187686.88895183438</c:v>
                </c:pt>
                <c:pt idx="12">
                  <c:v>217758.45562164832</c:v>
                </c:pt>
                <c:pt idx="13">
                  <c:v>249333.60062495296</c:v>
                </c:pt>
                <c:pt idx="14">
                  <c:v>282487.50287842285</c:v>
                </c:pt>
                <c:pt idx="15">
                  <c:v>317299.10024456622</c:v>
                </c:pt>
                <c:pt idx="16">
                  <c:v>353851.2774790168</c:v>
                </c:pt>
                <c:pt idx="17">
                  <c:v>392231.06357518991</c:v>
                </c:pt>
                <c:pt idx="18">
                  <c:v>432529.83897617168</c:v>
                </c:pt>
                <c:pt idx="19">
                  <c:v>474843.55314720253</c:v>
                </c:pt>
                <c:pt idx="20">
                  <c:v>519272.95302678493</c:v>
                </c:pt>
              </c:numCache>
            </c:numRef>
          </c:val>
          <c:smooth val="0"/>
          <c:extLst>
            <c:ext xmlns:c16="http://schemas.microsoft.com/office/drawing/2014/chart" uri="{C3380CC4-5D6E-409C-BE32-E72D297353CC}">
              <c16:uniqueId val="{00000004-9912-4649-96F2-F193CD49BE65}"/>
            </c:ext>
          </c:extLst>
        </c:ser>
        <c:dLbls>
          <c:showLegendKey val="0"/>
          <c:showVal val="0"/>
          <c:showCatName val="0"/>
          <c:showSerName val="0"/>
          <c:showPercent val="0"/>
          <c:showBubbleSize val="0"/>
        </c:dLbls>
        <c:marker val="1"/>
        <c:smooth val="0"/>
        <c:axId val="163474432"/>
        <c:axId val="166663232"/>
      </c:lineChart>
      <c:catAx>
        <c:axId val="163474432"/>
        <c:scaling>
          <c:orientation val="minMax"/>
        </c:scaling>
        <c:delete val="0"/>
        <c:axPos val="b"/>
        <c:numFmt formatCode="General" sourceLinked="1"/>
        <c:majorTickMark val="out"/>
        <c:minorTickMark val="none"/>
        <c:tickLblPos val="nextTo"/>
        <c:crossAx val="166663232"/>
        <c:crosses val="autoZero"/>
        <c:auto val="1"/>
        <c:lblAlgn val="ctr"/>
        <c:lblOffset val="100"/>
        <c:noMultiLvlLbl val="0"/>
      </c:catAx>
      <c:valAx>
        <c:axId val="166663232"/>
        <c:scaling>
          <c:orientation val="minMax"/>
        </c:scaling>
        <c:delete val="0"/>
        <c:axPos val="l"/>
        <c:majorGridlines/>
        <c:numFmt formatCode="#,##0,\k&quot;€&quot;;[Red]\-#,##0,\k&quot;€&quot;" sourceLinked="0"/>
        <c:majorTickMark val="out"/>
        <c:minorTickMark val="none"/>
        <c:tickLblPos val="nextTo"/>
        <c:crossAx val="163474432"/>
        <c:crosses val="autoZero"/>
        <c:crossBetween val="between"/>
      </c:valAx>
    </c:plotArea>
    <c:legend>
      <c:legendPos val="b"/>
      <c:overlay val="0"/>
    </c:legend>
    <c:plotVisOnly val="0"/>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Résultats'!$W$205</c:f>
          <c:strCache>
            <c:ptCount val="1"/>
            <c:pt idx="0">
              <c:v>Cumul actualisé en k€ sur 20 ans - Scénario de prix ''Personnalisé'' - Action 6 - Taux d'actualisation de 10%</c:v>
            </c:pt>
          </c:strCache>
        </c:strRef>
      </c:tx>
      <c:overlay val="0"/>
      <c:txPr>
        <a:bodyPr/>
        <a:lstStyle/>
        <a:p>
          <a:pPr>
            <a:defRPr sz="1200"/>
          </a:pPr>
          <a:endParaRPr lang="fr-FR"/>
        </a:p>
      </c:txPr>
    </c:title>
    <c:autoTitleDeleted val="0"/>
    <c:plotArea>
      <c:layout/>
      <c:barChart>
        <c:barDir val="col"/>
        <c:grouping val="stacked"/>
        <c:varyColors val="0"/>
        <c:ser>
          <c:idx val="0"/>
          <c:order val="0"/>
          <c:tx>
            <c:strRef>
              <c:f>'Plan d''actions'!$C$304</c:f>
              <c:strCache>
                <c:ptCount val="1"/>
                <c:pt idx="0">
                  <c:v>Investissements</c:v>
                </c:pt>
              </c:strCache>
            </c:strRef>
          </c:tx>
          <c:invertIfNegative val="0"/>
          <c:cat>
            <c:numRef>
              <c:f>'Plan d''actions'!$E$303:$Y$303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[0]!cumul_act_invest2</c:f>
              <c:numCache>
                <c:formatCode>#,##0</c:formatCode>
                <c:ptCount val="21"/>
                <c:pt idx="0">
                  <c:v>-62100</c:v>
                </c:pt>
              </c:numCache>
            </c:numRef>
          </c:val>
          <c:extLst>
            <c:ext xmlns:c16="http://schemas.microsoft.com/office/drawing/2014/chart" uri="{C3380CC4-5D6E-409C-BE32-E72D297353CC}">
              <c16:uniqueId val="{00000000-04AC-46B6-89CE-8CE27AA37D99}"/>
            </c:ext>
          </c:extLst>
        </c:ser>
        <c:ser>
          <c:idx val="3"/>
          <c:order val="1"/>
          <c:tx>
            <c:strRef>
              <c:f>'Plan d''actions'!$C$305</c:f>
              <c:strCache>
                <c:ptCount val="1"/>
                <c:pt idx="0">
                  <c:v>dont CEE</c:v>
                </c:pt>
              </c:strCache>
            </c:strRef>
          </c:tx>
          <c:invertIfNegative val="0"/>
          <c:val>
            <c:numRef>
              <c:f>[0]!cumul_act_cee2</c:f>
              <c:numCache>
                <c:formatCode>#,##0</c:formatCode>
                <c:ptCount val="21"/>
                <c:pt idx="0">
                  <c:v>0</c:v>
                </c:pt>
              </c:numCache>
            </c:numRef>
          </c:val>
          <c:extLst>
            <c:ext xmlns:c16="http://schemas.microsoft.com/office/drawing/2014/chart" uri="{C3380CC4-5D6E-409C-BE32-E72D297353CC}">
              <c16:uniqueId val="{00000001-04AC-46B6-89CE-8CE27AA37D99}"/>
            </c:ext>
          </c:extLst>
        </c:ser>
        <c:ser>
          <c:idx val="1"/>
          <c:order val="2"/>
          <c:tx>
            <c:strRef>
              <c:f>'Plan d''actions'!$C$306</c:f>
              <c:strCache>
                <c:ptCount val="1"/>
                <c:pt idx="0">
                  <c:v>Gains en énergie</c:v>
                </c:pt>
              </c:strCache>
            </c:strRef>
          </c:tx>
          <c:invertIfNegative val="0"/>
          <c:val>
            <c:numRef>
              <c:f>[0]!cumul_act_energie2</c:f>
              <c:numCache>
                <c:formatCode>#,##0</c:formatCode>
                <c:ptCount val="21"/>
                <c:pt idx="1">
                  <c:v>15983.838383838383</c:v>
                </c:pt>
                <c:pt idx="2">
                  <c:v>15257.300275482094</c:v>
                </c:pt>
                <c:pt idx="3">
                  <c:v>14563.78662659654</c:v>
                </c:pt>
                <c:pt idx="4">
                  <c:v>13901.796325387608</c:v>
                </c:pt>
                <c:pt idx="5">
                  <c:v>13269.896492415442</c:v>
                </c:pt>
                <c:pt idx="6">
                  <c:v>12666.719379123835</c:v>
                </c:pt>
                <c:pt idx="7">
                  <c:v>12090.959407345475</c:v>
                </c:pt>
                <c:pt idx="8">
                  <c:v>11541.370343375227</c:v>
                </c:pt>
                <c:pt idx="9">
                  <c:v>11016.762600494534</c:v>
                </c:pt>
                <c:pt idx="10">
                  <c:v>10516.000664108418</c:v>
                </c:pt>
                <c:pt idx="11">
                  <c:v>10038.000633921671</c:v>
                </c:pt>
                <c:pt idx="12">
                  <c:v>9581.7278778343225</c:v>
                </c:pt>
                <c:pt idx="13">
                  <c:v>9146.1947924782198</c:v>
                </c:pt>
                <c:pt idx="14">
                  <c:v>8730.4586655473886</c:v>
                </c:pt>
                <c:pt idx="15">
                  <c:v>8333.6196352952338</c:v>
                </c:pt>
                <c:pt idx="16">
                  <c:v>7954.8187427818166</c:v>
                </c:pt>
                <c:pt idx="17">
                  <c:v>7593.2360726553698</c:v>
                </c:pt>
                <c:pt idx="18">
                  <c:v>7248.0889784437622</c:v>
                </c:pt>
                <c:pt idx="19">
                  <c:v>6918.630388514498</c:v>
                </c:pt>
                <c:pt idx="20">
                  <c:v>6604.1471890365674</c:v>
                </c:pt>
              </c:numCache>
            </c:numRef>
          </c:val>
          <c:extLst>
            <c:ext xmlns:c16="http://schemas.microsoft.com/office/drawing/2014/chart" uri="{C3380CC4-5D6E-409C-BE32-E72D297353CC}">
              <c16:uniqueId val="{00000002-04AC-46B6-89CE-8CE27AA37D99}"/>
            </c:ext>
          </c:extLst>
        </c:ser>
        <c:ser>
          <c:idx val="2"/>
          <c:order val="3"/>
          <c:tx>
            <c:strRef>
              <c:f>'Plan d''actions'!$C$307</c:f>
              <c:strCache>
                <c:ptCount val="1"/>
                <c:pt idx="0">
                  <c:v>Cout récurrent</c:v>
                </c:pt>
              </c:strCache>
            </c:strRef>
          </c:tx>
          <c:invertIfNegative val="0"/>
          <c:val>
            <c:numRef>
              <c:f>[0]!cumul_act_rec2</c:f>
              <c:numCache>
                <c:formatCode>#,##0</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04AC-46B6-89CE-8CE27AA37D99}"/>
            </c:ext>
          </c:extLst>
        </c:ser>
        <c:dLbls>
          <c:showLegendKey val="0"/>
          <c:showVal val="0"/>
          <c:showCatName val="0"/>
          <c:showSerName val="0"/>
          <c:showPercent val="0"/>
          <c:showBubbleSize val="0"/>
        </c:dLbls>
        <c:gapWidth val="150"/>
        <c:overlap val="100"/>
        <c:axId val="163473408"/>
        <c:axId val="173277760"/>
      </c:barChart>
      <c:lineChart>
        <c:grouping val="standard"/>
        <c:varyColors val="0"/>
        <c:ser>
          <c:idx val="4"/>
          <c:order val="4"/>
          <c:tx>
            <c:strRef>
              <c:f>'Plan d''actions'!$C$309</c:f>
              <c:strCache>
                <c:ptCount val="1"/>
                <c:pt idx="0">
                  <c:v>Cumul</c:v>
                </c:pt>
              </c:strCache>
            </c:strRef>
          </c:tx>
          <c:spPr>
            <a:ln>
              <a:solidFill>
                <a:schemeClr val="tx2"/>
              </a:solidFill>
            </a:ln>
          </c:spPr>
          <c:marker>
            <c:symbol val="none"/>
          </c:marker>
          <c:val>
            <c:numRef>
              <c:f>[0]!cumul_act_tot2</c:f>
              <c:numCache>
                <c:formatCode>#,##0</c:formatCode>
                <c:ptCount val="21"/>
                <c:pt idx="0">
                  <c:v>-62100</c:v>
                </c:pt>
                <c:pt idx="1">
                  <c:v>-46116.161616161618</c:v>
                </c:pt>
                <c:pt idx="2">
                  <c:v>-30858.861340679527</c:v>
                </c:pt>
                <c:pt idx="3">
                  <c:v>-16295.074714082986</c:v>
                </c:pt>
                <c:pt idx="4">
                  <c:v>-2393.2783886953785</c:v>
                </c:pt>
                <c:pt idx="5">
                  <c:v>10876.618103720064</c:v>
                </c:pt>
                <c:pt idx="6">
                  <c:v>23543.337482843897</c:v>
                </c:pt>
                <c:pt idx="7">
                  <c:v>35634.296890189376</c:v>
                </c:pt>
                <c:pt idx="8">
                  <c:v>47175.6672335646</c:v>
                </c:pt>
                <c:pt idx="9">
                  <c:v>58192.429834059134</c:v>
                </c:pt>
                <c:pt idx="10">
                  <c:v>68708.430498167552</c:v>
                </c:pt>
                <c:pt idx="11">
                  <c:v>78746.43113208923</c:v>
                </c:pt>
                <c:pt idx="12">
                  <c:v>88328.159009923547</c:v>
                </c:pt>
                <c:pt idx="13">
                  <c:v>97474.353802401762</c:v>
                </c:pt>
                <c:pt idx="14">
                  <c:v>106204.81246794914</c:v>
                </c:pt>
                <c:pt idx="15">
                  <c:v>114538.43210324438</c:v>
                </c:pt>
                <c:pt idx="16">
                  <c:v>122493.2508460262</c:v>
                </c:pt>
                <c:pt idx="17">
                  <c:v>130086.48691868158</c:v>
                </c:pt>
                <c:pt idx="18">
                  <c:v>137334.57589712535</c:v>
                </c:pt>
                <c:pt idx="19">
                  <c:v>144253.20628563984</c:v>
                </c:pt>
                <c:pt idx="20">
                  <c:v>150857.35347467641</c:v>
                </c:pt>
              </c:numCache>
            </c:numRef>
          </c:val>
          <c:smooth val="0"/>
          <c:extLst>
            <c:ext xmlns:c16="http://schemas.microsoft.com/office/drawing/2014/chart" uri="{C3380CC4-5D6E-409C-BE32-E72D297353CC}">
              <c16:uniqueId val="{00000004-04AC-46B6-89CE-8CE27AA37D99}"/>
            </c:ext>
          </c:extLst>
        </c:ser>
        <c:dLbls>
          <c:showLegendKey val="0"/>
          <c:showVal val="0"/>
          <c:showCatName val="0"/>
          <c:showSerName val="0"/>
          <c:showPercent val="0"/>
          <c:showBubbleSize val="0"/>
        </c:dLbls>
        <c:marker val="1"/>
        <c:smooth val="0"/>
        <c:axId val="163473408"/>
        <c:axId val="173277760"/>
      </c:lineChart>
      <c:catAx>
        <c:axId val="163473408"/>
        <c:scaling>
          <c:orientation val="minMax"/>
        </c:scaling>
        <c:delete val="0"/>
        <c:axPos val="b"/>
        <c:numFmt formatCode="General" sourceLinked="1"/>
        <c:majorTickMark val="out"/>
        <c:minorTickMark val="none"/>
        <c:tickLblPos val="nextTo"/>
        <c:crossAx val="173277760"/>
        <c:crosses val="autoZero"/>
        <c:auto val="1"/>
        <c:lblAlgn val="ctr"/>
        <c:lblOffset val="100"/>
        <c:noMultiLvlLbl val="0"/>
      </c:catAx>
      <c:valAx>
        <c:axId val="173277760"/>
        <c:scaling>
          <c:orientation val="minMax"/>
        </c:scaling>
        <c:delete val="0"/>
        <c:axPos val="l"/>
        <c:majorGridlines/>
        <c:numFmt formatCode="#,##0,\k&quot;€&quot;;[Red]\-#,##0,\k&quot;€&quot;" sourceLinked="0"/>
        <c:majorTickMark val="out"/>
        <c:minorTickMark val="none"/>
        <c:tickLblPos val="nextTo"/>
        <c:crossAx val="163473408"/>
        <c:crosses val="autoZero"/>
        <c:crossBetween val="between"/>
      </c:valAx>
    </c:plotArea>
    <c:legend>
      <c:legendPos val="b"/>
      <c:overlay val="0"/>
    </c:legend>
    <c:plotVisOnly val="0"/>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Résultats'!$W$176</c:f>
          <c:strCache>
            <c:ptCount val="1"/>
            <c:pt idx="0">
              <c:v>TRI sur 20 ans - Scénario de prix ''Personnalisé''</c:v>
            </c:pt>
          </c:strCache>
        </c:strRef>
      </c:tx>
      <c:overlay val="0"/>
      <c:txPr>
        <a:bodyPr/>
        <a:lstStyle/>
        <a:p>
          <a:pPr>
            <a:defRPr sz="1100"/>
          </a:pPr>
          <a:endParaRPr lang="fr-FR"/>
        </a:p>
      </c:txPr>
    </c:title>
    <c:autoTitleDeleted val="0"/>
    <c:plotArea>
      <c:layout/>
      <c:radarChart>
        <c:radarStyle val="marker"/>
        <c:varyColors val="0"/>
        <c:ser>
          <c:idx val="0"/>
          <c:order val="0"/>
          <c:spPr>
            <a:ln w="25400">
              <a:solidFill>
                <a:schemeClr val="accent4"/>
              </a:solidFill>
              <a:prstDash val="sysDash"/>
            </a:ln>
          </c:spPr>
          <c:marker>
            <c:symbol val="circle"/>
            <c:size val="8"/>
            <c:spPr>
              <a:solidFill>
                <a:schemeClr val="accent4">
                  <a:lumMod val="75000"/>
                </a:schemeClr>
              </a:solidFill>
              <a:ln w="15875">
                <a:solidFill>
                  <a:schemeClr val="accent4">
                    <a:lumMod val="50000"/>
                  </a:schemeClr>
                </a:solidFill>
              </a:ln>
            </c:spPr>
          </c:marker>
          <c:cat>
            <c:strRef>
              <c:f>'Plan d''actions'!$D$344:$D$363</c:f>
              <c:strCache>
                <c:ptCount val="20"/>
                <c:pt idx="0">
                  <c:v> Action 1 </c:v>
                </c:pt>
                <c:pt idx="1">
                  <c:v> Action 2 </c:v>
                </c:pt>
                <c:pt idx="2">
                  <c:v> Action 3 </c:v>
                </c:pt>
                <c:pt idx="3">
                  <c:v> Action 4 </c:v>
                </c:pt>
                <c:pt idx="4">
                  <c:v> Action 5 </c:v>
                </c:pt>
                <c:pt idx="5">
                  <c:v> Action 6 </c:v>
                </c:pt>
                <c:pt idx="6">
                  <c:v> Action 7 </c:v>
                </c:pt>
                <c:pt idx="7">
                  <c:v> Action 8 </c:v>
                </c:pt>
                <c:pt idx="8">
                  <c:v> Action 9 </c:v>
                </c:pt>
                <c:pt idx="9">
                  <c:v> Action 10 </c:v>
                </c:pt>
                <c:pt idx="10">
                  <c:v> Action 11 </c:v>
                </c:pt>
                <c:pt idx="11">
                  <c:v> Action 12 </c:v>
                </c:pt>
                <c:pt idx="12">
                  <c:v> Action 13 </c:v>
                </c:pt>
                <c:pt idx="13">
                  <c:v> Action 14 </c:v>
                </c:pt>
                <c:pt idx="14">
                  <c:v> Action 15 </c:v>
                </c:pt>
                <c:pt idx="15">
                  <c:v> Action 16 </c:v>
                </c:pt>
                <c:pt idx="16">
                  <c:v> Action 17 </c:v>
                </c:pt>
                <c:pt idx="17">
                  <c:v> Action 18 </c:v>
                </c:pt>
                <c:pt idx="18">
                  <c:v> Action 19 </c:v>
                </c:pt>
                <c:pt idx="19">
                  <c:v> Action 20 </c:v>
                </c:pt>
              </c:strCache>
            </c:strRef>
          </c:cat>
          <c:val>
            <c:numRef>
              <c:f>[0]!Graph_radar_serie2</c:f>
              <c:numCache>
                <c:formatCode>0%</c:formatCode>
                <c:ptCount val="13"/>
                <c:pt idx="0">
                  <c:v>0.90631532776064461</c:v>
                </c:pt>
                <c:pt idx="1">
                  <c:v>0.19785122442789382</c:v>
                </c:pt>
                <c:pt idx="2">
                  <c:v>0.21383106621588643</c:v>
                </c:pt>
                <c:pt idx="3">
                  <c:v>0.22786653363296416</c:v>
                </c:pt>
                <c:pt idx="4">
                  <c:v>4.9191643280576729</c:v>
                </c:pt>
                <c:pt idx="5">
                  <c:v>0.33064724251011479</c:v>
                </c:pt>
                <c:pt idx="6">
                  <c:v>0.54043668379525567</c:v>
                </c:pt>
                <c:pt idx="7">
                  <c:v>3.7405877517013675</c:v>
                </c:pt>
                <c:pt idx="8">
                  <c:v>0.48993990358473383</c:v>
                </c:pt>
                <c:pt idx="9">
                  <c:v>1.6270729851766443</c:v>
                </c:pt>
                <c:pt idx="10">
                  <c:v>0.13728391429335618</c:v>
                </c:pt>
                <c:pt idx="11">
                  <c:v>0.25864040504917196</c:v>
                </c:pt>
                <c:pt idx="12">
                  <c:v>#N/A</c:v>
                </c:pt>
              </c:numCache>
            </c:numRef>
          </c:val>
          <c:extLst>
            <c:ext xmlns:c16="http://schemas.microsoft.com/office/drawing/2014/chart" uri="{C3380CC4-5D6E-409C-BE32-E72D297353CC}">
              <c16:uniqueId val="{00000000-F213-4AC1-914C-1AD4B59F4072}"/>
            </c:ext>
          </c:extLst>
        </c:ser>
        <c:dLbls>
          <c:showLegendKey val="0"/>
          <c:showVal val="0"/>
          <c:showCatName val="0"/>
          <c:showSerName val="0"/>
          <c:showPercent val="0"/>
          <c:showBubbleSize val="0"/>
        </c:dLbls>
        <c:axId val="167534080"/>
        <c:axId val="173280640"/>
      </c:radarChart>
      <c:catAx>
        <c:axId val="167534080"/>
        <c:scaling>
          <c:orientation val="minMax"/>
        </c:scaling>
        <c:delete val="0"/>
        <c:axPos val="b"/>
        <c:majorGridlines/>
        <c:numFmt formatCode="General" sourceLinked="1"/>
        <c:majorTickMark val="none"/>
        <c:minorTickMark val="none"/>
        <c:tickLblPos val="nextTo"/>
        <c:spPr>
          <a:ln w="9525">
            <a:noFill/>
          </a:ln>
        </c:spPr>
        <c:txPr>
          <a:bodyPr/>
          <a:lstStyle/>
          <a:p>
            <a:pPr>
              <a:defRPr b="1"/>
            </a:pPr>
            <a:endParaRPr lang="fr-FR"/>
          </a:p>
        </c:txPr>
        <c:crossAx val="173280640"/>
        <c:crosses val="autoZero"/>
        <c:auto val="1"/>
        <c:lblAlgn val="ctr"/>
        <c:lblOffset val="100"/>
        <c:noMultiLvlLbl val="0"/>
      </c:catAx>
      <c:valAx>
        <c:axId val="173280640"/>
        <c:scaling>
          <c:orientation val="minMax"/>
        </c:scaling>
        <c:delete val="0"/>
        <c:axPos val="l"/>
        <c:majorGridlines>
          <c:spPr>
            <a:ln>
              <a:prstDash val="sysDash"/>
              <a:headEnd type="none"/>
            </a:ln>
          </c:spPr>
        </c:majorGridlines>
        <c:numFmt formatCode="0%" sourceLinked="0"/>
        <c:majorTickMark val="none"/>
        <c:minorTickMark val="none"/>
        <c:tickLblPos val="nextTo"/>
        <c:spPr>
          <a:ln w="22225">
            <a:headEnd type="none"/>
            <a:tailEnd type="triangle"/>
          </a:ln>
        </c:spPr>
        <c:txPr>
          <a:bodyPr/>
          <a:lstStyle/>
          <a:p>
            <a:pPr>
              <a:defRPr sz="800">
                <a:solidFill>
                  <a:schemeClr val="tx1">
                    <a:lumMod val="50000"/>
                    <a:lumOff val="50000"/>
                  </a:schemeClr>
                </a:solidFill>
              </a:defRPr>
            </a:pPr>
            <a:endParaRPr lang="fr-FR"/>
          </a:p>
        </c:txPr>
        <c:crossAx val="167534080"/>
        <c:crosses val="autoZero"/>
        <c:crossBetween val="between"/>
      </c:valAx>
      <c:spPr>
        <a:noFill/>
        <a:ln w="12700" cap="rnd">
          <a:bevel/>
        </a:ln>
      </c:spPr>
    </c:plotArea>
    <c:plotVisOnly val="0"/>
    <c:dispBlanksAs val="gap"/>
    <c:showDLblsOverMax val="0"/>
  </c:chart>
  <c:spPr>
    <a:solidFill>
      <a:schemeClr val="bg1"/>
    </a:solidFill>
    <a:ln>
      <a:solidFill>
        <a:schemeClr val="tx1">
          <a:lumMod val="50000"/>
          <a:lumOff val="50000"/>
        </a:schemeClr>
      </a:solid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Résultats'!$W$177</c:f>
          <c:strCache>
            <c:ptCount val="1"/>
            <c:pt idx="0">
              <c:v>VAN sur 20 ans - Scénario de prix ''Personnalisé'' - Taux d'actualisation de 10% - k€</c:v>
            </c:pt>
          </c:strCache>
        </c:strRef>
      </c:tx>
      <c:overlay val="0"/>
      <c:txPr>
        <a:bodyPr/>
        <a:lstStyle/>
        <a:p>
          <a:pPr>
            <a:defRPr sz="1100"/>
          </a:pPr>
          <a:endParaRPr lang="fr-FR"/>
        </a:p>
      </c:txPr>
    </c:title>
    <c:autoTitleDeleted val="0"/>
    <c:plotArea>
      <c:layout/>
      <c:radarChart>
        <c:radarStyle val="marker"/>
        <c:varyColors val="0"/>
        <c:ser>
          <c:idx val="0"/>
          <c:order val="0"/>
          <c:spPr>
            <a:ln w="25400">
              <a:solidFill>
                <a:schemeClr val="accent3"/>
              </a:solidFill>
              <a:prstDash val="sysDash"/>
            </a:ln>
          </c:spPr>
          <c:marker>
            <c:symbol val="circle"/>
            <c:size val="8"/>
            <c:spPr>
              <a:solidFill>
                <a:schemeClr val="accent3">
                  <a:lumMod val="75000"/>
                </a:schemeClr>
              </a:solidFill>
              <a:ln w="15875">
                <a:solidFill>
                  <a:schemeClr val="accent3">
                    <a:lumMod val="50000"/>
                  </a:schemeClr>
                </a:solidFill>
              </a:ln>
            </c:spPr>
          </c:marker>
          <c:cat>
            <c:strRef>
              <c:f>'Plan d''actions'!$D$344:$D$363</c:f>
              <c:strCache>
                <c:ptCount val="20"/>
                <c:pt idx="0">
                  <c:v> Action 1 </c:v>
                </c:pt>
                <c:pt idx="1">
                  <c:v> Action 2 </c:v>
                </c:pt>
                <c:pt idx="2">
                  <c:v> Action 3 </c:v>
                </c:pt>
                <c:pt idx="3">
                  <c:v> Action 4 </c:v>
                </c:pt>
                <c:pt idx="4">
                  <c:v> Action 5 </c:v>
                </c:pt>
                <c:pt idx="5">
                  <c:v> Action 6 </c:v>
                </c:pt>
                <c:pt idx="6">
                  <c:v> Action 7 </c:v>
                </c:pt>
                <c:pt idx="7">
                  <c:v> Action 8 </c:v>
                </c:pt>
                <c:pt idx="8">
                  <c:v> Action 9 </c:v>
                </c:pt>
                <c:pt idx="9">
                  <c:v> Action 10 </c:v>
                </c:pt>
                <c:pt idx="10">
                  <c:v> Action 11 </c:v>
                </c:pt>
                <c:pt idx="11">
                  <c:v> Action 12 </c:v>
                </c:pt>
                <c:pt idx="12">
                  <c:v> Action 13 </c:v>
                </c:pt>
                <c:pt idx="13">
                  <c:v> Action 14 </c:v>
                </c:pt>
                <c:pt idx="14">
                  <c:v> Action 15 </c:v>
                </c:pt>
                <c:pt idx="15">
                  <c:v> Action 16 </c:v>
                </c:pt>
                <c:pt idx="16">
                  <c:v> Action 17 </c:v>
                </c:pt>
                <c:pt idx="17">
                  <c:v> Action 18 </c:v>
                </c:pt>
                <c:pt idx="18">
                  <c:v> Action 19 </c:v>
                </c:pt>
                <c:pt idx="19">
                  <c:v> Action 20 </c:v>
                </c:pt>
              </c:strCache>
            </c:strRef>
          </c:cat>
          <c:val>
            <c:numRef>
              <c:f>[0]!Graph_radar_serie1</c:f>
              <c:numCache>
                <c:formatCode>"€"#,##0_);[Red]\("€"#,##0\)</c:formatCode>
                <c:ptCount val="13"/>
                <c:pt idx="0">
                  <c:v>477382.67500501999</c:v>
                </c:pt>
                <c:pt idx="1">
                  <c:v>17326.886137186688</c:v>
                </c:pt>
                <c:pt idx="2">
                  <c:v>44905.488717356158</c:v>
                </c:pt>
                <c:pt idx="3">
                  <c:v>62015.957918175598</c:v>
                </c:pt>
                <c:pt idx="4">
                  <c:v>92176.705160438883</c:v>
                </c:pt>
                <c:pt idx="5">
                  <c:v>150857.35347467632</c:v>
                </c:pt>
                <c:pt idx="6">
                  <c:v>247149.79554606014</c:v>
                </c:pt>
                <c:pt idx="7">
                  <c:v>175961.37528309666</c:v>
                </c:pt>
                <c:pt idx="8">
                  <c:v>281674.76147040335</c:v>
                </c:pt>
                <c:pt idx="9">
                  <c:v>92121.36170209854</c:v>
                </c:pt>
                <c:pt idx="10">
                  <c:v>17447.050740076709</c:v>
                </c:pt>
                <c:pt idx="11">
                  <c:v>130894.10148015342</c:v>
                </c:pt>
                <c:pt idx="12">
                  <c:v>27238.731258388838</c:v>
                </c:pt>
              </c:numCache>
            </c:numRef>
          </c:val>
          <c:extLst>
            <c:ext xmlns:c16="http://schemas.microsoft.com/office/drawing/2014/chart" uri="{C3380CC4-5D6E-409C-BE32-E72D297353CC}">
              <c16:uniqueId val="{00000000-FA9A-4EEB-93EC-11056913A0FE}"/>
            </c:ext>
          </c:extLst>
        </c:ser>
        <c:dLbls>
          <c:showLegendKey val="0"/>
          <c:showVal val="0"/>
          <c:showCatName val="0"/>
          <c:showSerName val="0"/>
          <c:showPercent val="0"/>
          <c:showBubbleSize val="0"/>
        </c:dLbls>
        <c:axId val="172615168"/>
        <c:axId val="173282944"/>
      </c:radarChart>
      <c:catAx>
        <c:axId val="172615168"/>
        <c:scaling>
          <c:orientation val="minMax"/>
        </c:scaling>
        <c:delete val="0"/>
        <c:axPos val="b"/>
        <c:majorGridlines/>
        <c:numFmt formatCode="General" sourceLinked="1"/>
        <c:majorTickMark val="none"/>
        <c:minorTickMark val="none"/>
        <c:tickLblPos val="nextTo"/>
        <c:spPr>
          <a:ln w="9525">
            <a:noFill/>
          </a:ln>
        </c:spPr>
        <c:txPr>
          <a:bodyPr/>
          <a:lstStyle/>
          <a:p>
            <a:pPr>
              <a:defRPr b="1"/>
            </a:pPr>
            <a:endParaRPr lang="fr-FR"/>
          </a:p>
        </c:txPr>
        <c:crossAx val="173282944"/>
        <c:crosses val="autoZero"/>
        <c:auto val="1"/>
        <c:lblAlgn val="ctr"/>
        <c:lblOffset val="100"/>
        <c:noMultiLvlLbl val="0"/>
      </c:catAx>
      <c:valAx>
        <c:axId val="173282944"/>
        <c:scaling>
          <c:orientation val="minMax"/>
        </c:scaling>
        <c:delete val="0"/>
        <c:axPos val="l"/>
        <c:majorGridlines>
          <c:spPr>
            <a:ln>
              <a:prstDash val="sysDash"/>
              <a:headEnd type="none"/>
            </a:ln>
          </c:spPr>
        </c:majorGridlines>
        <c:numFmt formatCode="#,##0,\k&quot;€&quot;;[Red]\-#,##0,\k&quot;€&quot;" sourceLinked="0"/>
        <c:majorTickMark val="none"/>
        <c:minorTickMark val="none"/>
        <c:tickLblPos val="nextTo"/>
        <c:spPr>
          <a:ln w="22225">
            <a:headEnd type="none"/>
            <a:tailEnd type="triangle"/>
          </a:ln>
        </c:spPr>
        <c:txPr>
          <a:bodyPr/>
          <a:lstStyle/>
          <a:p>
            <a:pPr>
              <a:defRPr sz="800">
                <a:solidFill>
                  <a:schemeClr val="tx1">
                    <a:lumMod val="50000"/>
                    <a:lumOff val="50000"/>
                  </a:schemeClr>
                </a:solidFill>
              </a:defRPr>
            </a:pPr>
            <a:endParaRPr lang="fr-FR"/>
          </a:p>
        </c:txPr>
        <c:crossAx val="172615168"/>
        <c:crosses val="autoZero"/>
        <c:crossBetween val="between"/>
      </c:valAx>
      <c:spPr>
        <a:noFill/>
        <a:ln w="12700" cap="rnd">
          <a:bevel/>
        </a:ln>
      </c:spPr>
    </c:plotArea>
    <c:plotVisOnly val="0"/>
    <c:dispBlanksAs val="gap"/>
    <c:showDLblsOverMax val="0"/>
  </c:chart>
  <c:spPr>
    <a:solidFill>
      <a:schemeClr val="bg1"/>
    </a:solidFill>
    <a:ln>
      <a:solidFill>
        <a:schemeClr val="tx1">
          <a:lumMod val="50000"/>
          <a:lumOff val="50000"/>
        </a:schemeClr>
      </a:solid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100"/>
            </a:pPr>
            <a:r>
              <a:rPr lang="fr-FR" sz="1100"/>
              <a:t>Bilan énergétique Avant / Après - MWh / an</a:t>
            </a:r>
          </a:p>
        </c:rich>
      </c:tx>
      <c:overlay val="0"/>
      <c:spPr>
        <a:noFill/>
        <a:ln>
          <a:noFill/>
        </a:ln>
        <a:effectLst/>
      </c:spPr>
    </c:title>
    <c:autoTitleDeleted val="0"/>
    <c:plotArea>
      <c:layout/>
      <c:barChart>
        <c:barDir val="col"/>
        <c:grouping val="stacked"/>
        <c:varyColors val="0"/>
        <c:ser>
          <c:idx val="0"/>
          <c:order val="0"/>
          <c:tx>
            <c:strRef>
              <c:f>'Paramètres et Résultats'!$AH$27</c:f>
              <c:strCache>
                <c:ptCount val="1"/>
                <c:pt idx="0">
                  <c:v>Electricité</c:v>
                </c:pt>
              </c:strCache>
            </c:strRef>
          </c:tx>
          <c:spPr>
            <a:solidFill>
              <a:schemeClr val="accent1"/>
            </a:solidFill>
            <a:ln>
              <a:noFill/>
            </a:ln>
            <a:effectLst/>
          </c:spPr>
          <c:invertIfNegative val="0"/>
          <c:cat>
            <c:strRef>
              <c:f>'Paramètres et Résultats'!$AI$26:$AJ$26</c:f>
              <c:strCache>
                <c:ptCount val="2"/>
                <c:pt idx="0">
                  <c:v>Avant plan d'actions</c:v>
                </c:pt>
                <c:pt idx="1">
                  <c:v>Après plan d'actions</c:v>
                </c:pt>
              </c:strCache>
            </c:strRef>
          </c:cat>
          <c:val>
            <c:numRef>
              <c:f>'Paramètres et Résultats'!$AI$27:$AJ$27</c:f>
              <c:numCache>
                <c:formatCode>#\ ##0" MWh"</c:formatCode>
                <c:ptCount val="2"/>
                <c:pt idx="0">
                  <c:v>10000</c:v>
                </c:pt>
                <c:pt idx="1">
                  <c:v>8348</c:v>
                </c:pt>
              </c:numCache>
            </c:numRef>
          </c:val>
          <c:extLst>
            <c:ext xmlns:c16="http://schemas.microsoft.com/office/drawing/2014/chart" uri="{C3380CC4-5D6E-409C-BE32-E72D297353CC}">
              <c16:uniqueId val="{00000000-D53C-4EAB-9AD8-880AD7C28901}"/>
            </c:ext>
          </c:extLst>
        </c:ser>
        <c:ser>
          <c:idx val="1"/>
          <c:order val="1"/>
          <c:tx>
            <c:strRef>
              <c:f>'Paramètres et Résultats'!$AH$28</c:f>
              <c:strCache>
                <c:ptCount val="1"/>
                <c:pt idx="0">
                  <c:v>Gaz naturel</c:v>
                </c:pt>
              </c:strCache>
            </c:strRef>
          </c:tx>
          <c:spPr>
            <a:solidFill>
              <a:schemeClr val="accent2"/>
            </a:solidFill>
            <a:ln>
              <a:noFill/>
            </a:ln>
            <a:effectLst/>
          </c:spPr>
          <c:invertIfNegative val="0"/>
          <c:cat>
            <c:strRef>
              <c:f>'Paramètres et Résultats'!$AI$26:$AJ$26</c:f>
              <c:strCache>
                <c:ptCount val="2"/>
                <c:pt idx="0">
                  <c:v>Avant plan d'actions</c:v>
                </c:pt>
                <c:pt idx="1">
                  <c:v>Après plan d'actions</c:v>
                </c:pt>
              </c:strCache>
            </c:strRef>
          </c:cat>
          <c:val>
            <c:numRef>
              <c:f>'Paramètres et Résultats'!$AI$28:$AJ$28</c:f>
              <c:numCache>
                <c:formatCode>#\ ##0" MWh"</c:formatCode>
                <c:ptCount val="2"/>
                <c:pt idx="0">
                  <c:v>20000</c:v>
                </c:pt>
                <c:pt idx="1">
                  <c:v>17504</c:v>
                </c:pt>
              </c:numCache>
            </c:numRef>
          </c:val>
          <c:extLst>
            <c:ext xmlns:c16="http://schemas.microsoft.com/office/drawing/2014/chart" uri="{C3380CC4-5D6E-409C-BE32-E72D297353CC}">
              <c16:uniqueId val="{00000001-D53C-4EAB-9AD8-880AD7C28901}"/>
            </c:ext>
          </c:extLst>
        </c:ser>
        <c:ser>
          <c:idx val="2"/>
          <c:order val="2"/>
          <c:tx>
            <c:strRef>
              <c:f>'Paramètres et Résultats'!$AH$29</c:f>
              <c:strCache>
                <c:ptCount val="1"/>
                <c:pt idx="0">
                  <c:v>Fioul lourd</c:v>
                </c:pt>
              </c:strCache>
            </c:strRef>
          </c:tx>
          <c:spPr>
            <a:solidFill>
              <a:schemeClr val="accent3"/>
            </a:solidFill>
            <a:ln>
              <a:noFill/>
            </a:ln>
            <a:effectLst/>
          </c:spPr>
          <c:invertIfNegative val="0"/>
          <c:cat>
            <c:strRef>
              <c:f>'Paramètres et Résultats'!$AI$26:$AJ$26</c:f>
              <c:strCache>
                <c:ptCount val="2"/>
                <c:pt idx="0">
                  <c:v>Avant plan d'actions</c:v>
                </c:pt>
                <c:pt idx="1">
                  <c:v>Après plan d'actions</c:v>
                </c:pt>
              </c:strCache>
            </c:strRef>
          </c:cat>
          <c:val>
            <c:numRef>
              <c:f>'Paramètres et Résultats'!$AI$29:$AJ$29</c:f>
              <c:numCache>
                <c:formatCode>#\ ##0" MWh"</c:formatCode>
                <c:ptCount val="2"/>
                <c:pt idx="0">
                  <c:v>0</c:v>
                </c:pt>
                <c:pt idx="1">
                  <c:v>0</c:v>
                </c:pt>
              </c:numCache>
            </c:numRef>
          </c:val>
          <c:extLst>
            <c:ext xmlns:c16="http://schemas.microsoft.com/office/drawing/2014/chart" uri="{C3380CC4-5D6E-409C-BE32-E72D297353CC}">
              <c16:uniqueId val="{00000002-D53C-4EAB-9AD8-880AD7C28901}"/>
            </c:ext>
          </c:extLst>
        </c:ser>
        <c:ser>
          <c:idx val="3"/>
          <c:order val="3"/>
          <c:tx>
            <c:strRef>
              <c:f>'Paramètres et Résultats'!$AH$30</c:f>
              <c:strCache>
                <c:ptCount val="1"/>
                <c:pt idx="0">
                  <c:v>Fioul domestique</c:v>
                </c:pt>
              </c:strCache>
            </c:strRef>
          </c:tx>
          <c:spPr>
            <a:solidFill>
              <a:schemeClr val="accent4"/>
            </a:solidFill>
            <a:ln>
              <a:noFill/>
            </a:ln>
            <a:effectLst/>
          </c:spPr>
          <c:invertIfNegative val="0"/>
          <c:cat>
            <c:strRef>
              <c:f>'Paramètres et Résultats'!$AI$26:$AJ$26</c:f>
              <c:strCache>
                <c:ptCount val="2"/>
                <c:pt idx="0">
                  <c:v>Avant plan d'actions</c:v>
                </c:pt>
                <c:pt idx="1">
                  <c:v>Après plan d'actions</c:v>
                </c:pt>
              </c:strCache>
            </c:strRef>
          </c:cat>
          <c:val>
            <c:numRef>
              <c:f>'Paramètres et Résultats'!$AI$30:$AJ$30</c:f>
              <c:numCache>
                <c:formatCode>#\ ##0" MWh"</c:formatCode>
                <c:ptCount val="2"/>
                <c:pt idx="0">
                  <c:v>0</c:v>
                </c:pt>
                <c:pt idx="1">
                  <c:v>0</c:v>
                </c:pt>
              </c:numCache>
            </c:numRef>
          </c:val>
          <c:extLst>
            <c:ext xmlns:c16="http://schemas.microsoft.com/office/drawing/2014/chart" uri="{C3380CC4-5D6E-409C-BE32-E72D297353CC}">
              <c16:uniqueId val="{00000003-D53C-4EAB-9AD8-880AD7C28901}"/>
            </c:ext>
          </c:extLst>
        </c:ser>
        <c:ser>
          <c:idx val="4"/>
          <c:order val="4"/>
          <c:tx>
            <c:strRef>
              <c:f>'Paramètres et Résultats'!$AH$31</c:f>
              <c:strCache>
                <c:ptCount val="1"/>
                <c:pt idx="0">
                  <c:v>GPL</c:v>
                </c:pt>
              </c:strCache>
            </c:strRef>
          </c:tx>
          <c:spPr>
            <a:solidFill>
              <a:schemeClr val="accent5"/>
            </a:solidFill>
            <a:ln>
              <a:noFill/>
            </a:ln>
            <a:effectLst/>
          </c:spPr>
          <c:invertIfNegative val="0"/>
          <c:cat>
            <c:strRef>
              <c:f>'Paramètres et Résultats'!$AI$26:$AJ$26</c:f>
              <c:strCache>
                <c:ptCount val="2"/>
                <c:pt idx="0">
                  <c:v>Avant plan d'actions</c:v>
                </c:pt>
                <c:pt idx="1">
                  <c:v>Après plan d'actions</c:v>
                </c:pt>
              </c:strCache>
            </c:strRef>
          </c:cat>
          <c:val>
            <c:numRef>
              <c:f>'Paramètres et Résultats'!$AI$31:$AJ$31</c:f>
              <c:numCache>
                <c:formatCode>#\ ##0" MWh"</c:formatCode>
                <c:ptCount val="2"/>
                <c:pt idx="0">
                  <c:v>0</c:v>
                </c:pt>
                <c:pt idx="1">
                  <c:v>0</c:v>
                </c:pt>
              </c:numCache>
            </c:numRef>
          </c:val>
          <c:extLst>
            <c:ext xmlns:c16="http://schemas.microsoft.com/office/drawing/2014/chart" uri="{C3380CC4-5D6E-409C-BE32-E72D297353CC}">
              <c16:uniqueId val="{00000004-D53C-4EAB-9AD8-880AD7C28901}"/>
            </c:ext>
          </c:extLst>
        </c:ser>
        <c:ser>
          <c:idx val="5"/>
          <c:order val="5"/>
          <c:tx>
            <c:strRef>
              <c:f>'Paramètres et Résultats'!$AH$32</c:f>
              <c:strCache>
                <c:ptCount val="1"/>
                <c:pt idx="0">
                  <c:v>Bois</c:v>
                </c:pt>
              </c:strCache>
            </c:strRef>
          </c:tx>
          <c:spPr>
            <a:solidFill>
              <a:schemeClr val="accent6"/>
            </a:solidFill>
            <a:ln>
              <a:noFill/>
            </a:ln>
            <a:effectLst/>
          </c:spPr>
          <c:invertIfNegative val="0"/>
          <c:cat>
            <c:strRef>
              <c:f>'Paramètres et Résultats'!$AI$26:$AJ$26</c:f>
              <c:strCache>
                <c:ptCount val="2"/>
                <c:pt idx="0">
                  <c:v>Avant plan d'actions</c:v>
                </c:pt>
                <c:pt idx="1">
                  <c:v>Après plan d'actions</c:v>
                </c:pt>
              </c:strCache>
            </c:strRef>
          </c:cat>
          <c:val>
            <c:numRef>
              <c:f>'Paramètres et Résultats'!$AI$32:$AJ$32</c:f>
              <c:numCache>
                <c:formatCode>#\ ##0" MWh"</c:formatCode>
                <c:ptCount val="2"/>
                <c:pt idx="0">
                  <c:v>0</c:v>
                </c:pt>
                <c:pt idx="1">
                  <c:v>0</c:v>
                </c:pt>
              </c:numCache>
            </c:numRef>
          </c:val>
          <c:extLst>
            <c:ext xmlns:c16="http://schemas.microsoft.com/office/drawing/2014/chart" uri="{C3380CC4-5D6E-409C-BE32-E72D297353CC}">
              <c16:uniqueId val="{00000005-D53C-4EAB-9AD8-880AD7C28901}"/>
            </c:ext>
          </c:extLst>
        </c:ser>
        <c:ser>
          <c:idx val="6"/>
          <c:order val="6"/>
          <c:tx>
            <c:strRef>
              <c:f>'Paramètres et Résultats'!$AH$33</c:f>
              <c:strCache>
                <c:ptCount val="1"/>
                <c:pt idx="0">
                  <c:v>Vapeur</c:v>
                </c:pt>
              </c:strCache>
            </c:strRef>
          </c:tx>
          <c:spPr>
            <a:solidFill>
              <a:schemeClr val="accent1">
                <a:lumMod val="60000"/>
              </a:schemeClr>
            </a:solidFill>
            <a:ln>
              <a:noFill/>
            </a:ln>
            <a:effectLst/>
          </c:spPr>
          <c:invertIfNegative val="0"/>
          <c:cat>
            <c:strRef>
              <c:f>'Paramètres et Résultats'!$AI$26:$AJ$26</c:f>
              <c:strCache>
                <c:ptCount val="2"/>
                <c:pt idx="0">
                  <c:v>Avant plan d'actions</c:v>
                </c:pt>
                <c:pt idx="1">
                  <c:v>Après plan d'actions</c:v>
                </c:pt>
              </c:strCache>
            </c:strRef>
          </c:cat>
          <c:val>
            <c:numRef>
              <c:f>'Paramètres et Résultats'!$AI$33:$AJ$33</c:f>
              <c:numCache>
                <c:formatCode>#\ ##0" MWh"</c:formatCode>
                <c:ptCount val="2"/>
                <c:pt idx="0">
                  <c:v>0</c:v>
                </c:pt>
                <c:pt idx="1">
                  <c:v>0</c:v>
                </c:pt>
              </c:numCache>
            </c:numRef>
          </c:val>
          <c:extLst>
            <c:ext xmlns:c16="http://schemas.microsoft.com/office/drawing/2014/chart" uri="{C3380CC4-5D6E-409C-BE32-E72D297353CC}">
              <c16:uniqueId val="{00000006-D53C-4EAB-9AD8-880AD7C28901}"/>
            </c:ext>
          </c:extLst>
        </c:ser>
        <c:ser>
          <c:idx val="7"/>
          <c:order val="7"/>
          <c:tx>
            <c:strRef>
              <c:f>'Paramètres et Résultats'!$AH$34</c:f>
              <c:strCache>
                <c:ptCount val="1"/>
                <c:pt idx="0">
                  <c:v>Autre</c:v>
                </c:pt>
              </c:strCache>
            </c:strRef>
          </c:tx>
          <c:spPr>
            <a:solidFill>
              <a:schemeClr val="accent2">
                <a:lumMod val="60000"/>
              </a:schemeClr>
            </a:solidFill>
            <a:ln>
              <a:noFill/>
            </a:ln>
            <a:effectLst/>
          </c:spPr>
          <c:invertIfNegative val="0"/>
          <c:cat>
            <c:strRef>
              <c:f>'Paramètres et Résultats'!$AI$26:$AJ$26</c:f>
              <c:strCache>
                <c:ptCount val="2"/>
                <c:pt idx="0">
                  <c:v>Avant plan d'actions</c:v>
                </c:pt>
                <c:pt idx="1">
                  <c:v>Après plan d'actions</c:v>
                </c:pt>
              </c:strCache>
            </c:strRef>
          </c:cat>
          <c:val>
            <c:numRef>
              <c:f>'Paramètres et Résultats'!$AI$34:$AJ$34</c:f>
              <c:numCache>
                <c:formatCode>#\ ##0" MWh"</c:formatCode>
                <c:ptCount val="2"/>
                <c:pt idx="0">
                  <c:v>0</c:v>
                </c:pt>
                <c:pt idx="1">
                  <c:v>0</c:v>
                </c:pt>
              </c:numCache>
            </c:numRef>
          </c:val>
          <c:extLst>
            <c:ext xmlns:c16="http://schemas.microsoft.com/office/drawing/2014/chart" uri="{C3380CC4-5D6E-409C-BE32-E72D297353CC}">
              <c16:uniqueId val="{00000007-D53C-4EAB-9AD8-880AD7C28901}"/>
            </c:ext>
          </c:extLst>
        </c:ser>
        <c:dLbls>
          <c:showLegendKey val="0"/>
          <c:showVal val="0"/>
          <c:showCatName val="0"/>
          <c:showSerName val="0"/>
          <c:showPercent val="0"/>
          <c:showBubbleSize val="0"/>
        </c:dLbls>
        <c:gapWidth val="100"/>
        <c:overlap val="100"/>
        <c:axId val="167532032"/>
        <c:axId val="173284672"/>
      </c:barChart>
      <c:catAx>
        <c:axId val="16753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000"/>
            </a:pPr>
            <a:endParaRPr lang="fr-FR"/>
          </a:p>
        </c:txPr>
        <c:crossAx val="173284672"/>
        <c:crosses val="autoZero"/>
        <c:auto val="1"/>
        <c:lblAlgn val="ctr"/>
        <c:lblOffset val="100"/>
        <c:noMultiLvlLbl val="0"/>
      </c:catAx>
      <c:valAx>
        <c:axId val="173284672"/>
        <c:scaling>
          <c:orientation val="minMax"/>
        </c:scaling>
        <c:delete val="0"/>
        <c:axPos val="l"/>
        <c:majorGridlines>
          <c:spPr>
            <a:ln w="9525" cap="flat" cmpd="sng" algn="ctr">
              <a:solidFill>
                <a:schemeClr val="tx1">
                  <a:lumMod val="15000"/>
                  <a:lumOff val="85000"/>
                </a:schemeClr>
              </a:solidFill>
              <a:round/>
            </a:ln>
            <a:effectLst/>
          </c:spPr>
        </c:majorGridlines>
        <c:numFmt formatCode="#\ ##0&quot; MWh&quot;" sourceLinked="1"/>
        <c:majorTickMark val="none"/>
        <c:minorTickMark val="none"/>
        <c:tickLblPos val="nextTo"/>
        <c:spPr>
          <a:noFill/>
          <a:ln>
            <a:noFill/>
          </a:ln>
          <a:effectLst/>
        </c:spPr>
        <c:txPr>
          <a:bodyPr rot="-60000000" vert="horz"/>
          <a:lstStyle/>
          <a:p>
            <a:pPr>
              <a:defRPr sz="1000"/>
            </a:pPr>
            <a:endParaRPr lang="fr-FR"/>
          </a:p>
        </c:txPr>
        <c:crossAx val="167532032"/>
        <c:crosses val="autoZero"/>
        <c:crossBetween val="between"/>
      </c:valAx>
      <c:spPr>
        <a:noFill/>
        <a:ln>
          <a:noFill/>
        </a:ln>
        <a:effectLst/>
      </c:spPr>
    </c:plotArea>
    <c:legend>
      <c:legendPos val="r"/>
      <c:overlay val="0"/>
      <c:spPr>
        <a:noFill/>
        <a:ln>
          <a:noFill/>
        </a:ln>
        <a:effectLst/>
      </c:spPr>
      <c:txPr>
        <a:bodyPr rot="0" vert="horz"/>
        <a:lstStyle/>
        <a:p>
          <a:pPr>
            <a:defRPr sz="1000"/>
          </a:pPr>
          <a:endParaRPr lang="fr-FR"/>
        </a:p>
      </c:txPr>
    </c:legend>
    <c:plotVisOnly val="0"/>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sz="11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100"/>
            </a:pPr>
            <a:r>
              <a:rPr lang="fr-FR" sz="1100"/>
              <a:t>Facture énergétique Avant / Après </a:t>
            </a:r>
            <a:r>
              <a:rPr lang="fr-FR" sz="1100" baseline="0"/>
              <a:t> </a:t>
            </a:r>
            <a:r>
              <a:rPr lang="fr-FR" sz="1100"/>
              <a:t>-  € / an</a:t>
            </a:r>
          </a:p>
        </c:rich>
      </c:tx>
      <c:overlay val="0"/>
      <c:spPr>
        <a:noFill/>
        <a:ln>
          <a:noFill/>
        </a:ln>
        <a:effectLst/>
      </c:spPr>
    </c:title>
    <c:autoTitleDeleted val="0"/>
    <c:plotArea>
      <c:layout>
        <c:manualLayout>
          <c:layoutTarget val="inner"/>
          <c:xMode val="edge"/>
          <c:yMode val="edge"/>
          <c:x val="0.20399132859031502"/>
          <c:y val="0.14905623078592561"/>
          <c:w val="0.51552638810326101"/>
          <c:h val="0.69824732490421382"/>
        </c:manualLayout>
      </c:layout>
      <c:barChart>
        <c:barDir val="col"/>
        <c:grouping val="stacked"/>
        <c:varyColors val="0"/>
        <c:ser>
          <c:idx val="0"/>
          <c:order val="0"/>
          <c:tx>
            <c:strRef>
              <c:f>'Paramètres et Résultats'!$AQ$27</c:f>
              <c:strCache>
                <c:ptCount val="1"/>
                <c:pt idx="0">
                  <c:v>Electricité</c:v>
                </c:pt>
              </c:strCache>
            </c:strRef>
          </c:tx>
          <c:spPr>
            <a:solidFill>
              <a:schemeClr val="accent1"/>
            </a:solidFill>
            <a:ln>
              <a:noFill/>
            </a:ln>
            <a:effectLst/>
          </c:spPr>
          <c:invertIfNegative val="0"/>
          <c:cat>
            <c:strRef>
              <c:f>'Paramètres et Résultats'!$AR$26:$AS$26</c:f>
              <c:strCache>
                <c:ptCount val="2"/>
                <c:pt idx="0">
                  <c:v>Avant plan d'actions</c:v>
                </c:pt>
                <c:pt idx="1">
                  <c:v>Après plan d'actions</c:v>
                </c:pt>
              </c:strCache>
            </c:strRef>
          </c:cat>
          <c:val>
            <c:numRef>
              <c:f>'Paramètres et Résultats'!$AR$27:$AS$27</c:f>
              <c:numCache>
                <c:formatCode>#\ ##0\ "€"</c:formatCode>
                <c:ptCount val="2"/>
                <c:pt idx="0">
                  <c:v>837000</c:v>
                </c:pt>
                <c:pt idx="1">
                  <c:v>698727.6</c:v>
                </c:pt>
              </c:numCache>
            </c:numRef>
          </c:val>
          <c:extLst>
            <c:ext xmlns:c16="http://schemas.microsoft.com/office/drawing/2014/chart" uri="{C3380CC4-5D6E-409C-BE32-E72D297353CC}">
              <c16:uniqueId val="{00000000-06C5-428F-89DF-B957DEABCFEC}"/>
            </c:ext>
          </c:extLst>
        </c:ser>
        <c:ser>
          <c:idx val="1"/>
          <c:order val="1"/>
          <c:tx>
            <c:strRef>
              <c:f>'Paramètres et Résultats'!$AQ$28</c:f>
              <c:strCache>
                <c:ptCount val="1"/>
                <c:pt idx="0">
                  <c:v>Gaz naturel</c:v>
                </c:pt>
              </c:strCache>
            </c:strRef>
          </c:tx>
          <c:spPr>
            <a:solidFill>
              <a:schemeClr val="accent2"/>
            </a:solidFill>
            <a:ln>
              <a:noFill/>
            </a:ln>
            <a:effectLst/>
          </c:spPr>
          <c:invertIfNegative val="0"/>
          <c:cat>
            <c:strRef>
              <c:f>'Paramètres et Résultats'!$AR$26:$AS$26</c:f>
              <c:strCache>
                <c:ptCount val="2"/>
                <c:pt idx="0">
                  <c:v>Avant plan d'actions</c:v>
                </c:pt>
                <c:pt idx="1">
                  <c:v>Après plan d'actions</c:v>
                </c:pt>
              </c:strCache>
            </c:strRef>
          </c:cat>
          <c:val>
            <c:numRef>
              <c:f>'Paramètres et Résultats'!$AR$28:$AS$28</c:f>
              <c:numCache>
                <c:formatCode>#\ ##0\ "€"</c:formatCode>
                <c:ptCount val="2"/>
                <c:pt idx="0">
                  <c:v>817777.77777777775</c:v>
                </c:pt>
                <c:pt idx="1">
                  <c:v>715719.11111111112</c:v>
                </c:pt>
              </c:numCache>
            </c:numRef>
          </c:val>
          <c:extLst>
            <c:ext xmlns:c16="http://schemas.microsoft.com/office/drawing/2014/chart" uri="{C3380CC4-5D6E-409C-BE32-E72D297353CC}">
              <c16:uniqueId val="{00000001-06C5-428F-89DF-B957DEABCFEC}"/>
            </c:ext>
          </c:extLst>
        </c:ser>
        <c:ser>
          <c:idx val="2"/>
          <c:order val="2"/>
          <c:tx>
            <c:strRef>
              <c:f>'Paramètres et Résultats'!$AQ$29</c:f>
              <c:strCache>
                <c:ptCount val="1"/>
                <c:pt idx="0">
                  <c:v>Fioul lourd</c:v>
                </c:pt>
              </c:strCache>
            </c:strRef>
          </c:tx>
          <c:spPr>
            <a:solidFill>
              <a:schemeClr val="accent3"/>
            </a:solidFill>
            <a:ln>
              <a:noFill/>
            </a:ln>
            <a:effectLst/>
          </c:spPr>
          <c:invertIfNegative val="0"/>
          <c:cat>
            <c:strRef>
              <c:f>'Paramètres et Résultats'!$AR$26:$AS$26</c:f>
              <c:strCache>
                <c:ptCount val="2"/>
                <c:pt idx="0">
                  <c:v>Avant plan d'actions</c:v>
                </c:pt>
                <c:pt idx="1">
                  <c:v>Après plan d'actions</c:v>
                </c:pt>
              </c:strCache>
            </c:strRef>
          </c:cat>
          <c:val>
            <c:numRef>
              <c:f>'Paramètres et Résultats'!$AR$29:$AS$29</c:f>
              <c:numCache>
                <c:formatCode>#\ ##0\ "€"</c:formatCode>
                <c:ptCount val="2"/>
                <c:pt idx="0">
                  <c:v>0</c:v>
                </c:pt>
                <c:pt idx="1">
                  <c:v>0</c:v>
                </c:pt>
              </c:numCache>
            </c:numRef>
          </c:val>
          <c:extLst>
            <c:ext xmlns:c16="http://schemas.microsoft.com/office/drawing/2014/chart" uri="{C3380CC4-5D6E-409C-BE32-E72D297353CC}">
              <c16:uniqueId val="{00000002-06C5-428F-89DF-B957DEABCFEC}"/>
            </c:ext>
          </c:extLst>
        </c:ser>
        <c:ser>
          <c:idx val="3"/>
          <c:order val="3"/>
          <c:tx>
            <c:strRef>
              <c:f>'Paramètres et Résultats'!$AQ$30</c:f>
              <c:strCache>
                <c:ptCount val="1"/>
                <c:pt idx="0">
                  <c:v>Fioul domestique</c:v>
                </c:pt>
              </c:strCache>
            </c:strRef>
          </c:tx>
          <c:spPr>
            <a:solidFill>
              <a:schemeClr val="accent4"/>
            </a:solidFill>
            <a:ln>
              <a:noFill/>
            </a:ln>
            <a:effectLst/>
          </c:spPr>
          <c:invertIfNegative val="0"/>
          <c:cat>
            <c:strRef>
              <c:f>'Paramètres et Résultats'!$AR$26:$AS$26</c:f>
              <c:strCache>
                <c:ptCount val="2"/>
                <c:pt idx="0">
                  <c:v>Avant plan d'actions</c:v>
                </c:pt>
                <c:pt idx="1">
                  <c:v>Après plan d'actions</c:v>
                </c:pt>
              </c:strCache>
            </c:strRef>
          </c:cat>
          <c:val>
            <c:numRef>
              <c:f>'Paramètres et Résultats'!$AR$30:$AS$30</c:f>
              <c:numCache>
                <c:formatCode>#\ ##0\ "€"</c:formatCode>
                <c:ptCount val="2"/>
                <c:pt idx="0">
                  <c:v>0</c:v>
                </c:pt>
                <c:pt idx="1">
                  <c:v>0</c:v>
                </c:pt>
              </c:numCache>
            </c:numRef>
          </c:val>
          <c:extLst>
            <c:ext xmlns:c16="http://schemas.microsoft.com/office/drawing/2014/chart" uri="{C3380CC4-5D6E-409C-BE32-E72D297353CC}">
              <c16:uniqueId val="{00000003-06C5-428F-89DF-B957DEABCFEC}"/>
            </c:ext>
          </c:extLst>
        </c:ser>
        <c:ser>
          <c:idx val="4"/>
          <c:order val="4"/>
          <c:tx>
            <c:strRef>
              <c:f>'Paramètres et Résultats'!$AQ$31</c:f>
              <c:strCache>
                <c:ptCount val="1"/>
                <c:pt idx="0">
                  <c:v>GPL</c:v>
                </c:pt>
              </c:strCache>
            </c:strRef>
          </c:tx>
          <c:spPr>
            <a:solidFill>
              <a:schemeClr val="accent5"/>
            </a:solidFill>
            <a:ln>
              <a:noFill/>
            </a:ln>
            <a:effectLst/>
          </c:spPr>
          <c:invertIfNegative val="0"/>
          <c:cat>
            <c:strRef>
              <c:f>'Paramètres et Résultats'!$AR$26:$AS$26</c:f>
              <c:strCache>
                <c:ptCount val="2"/>
                <c:pt idx="0">
                  <c:v>Avant plan d'actions</c:v>
                </c:pt>
                <c:pt idx="1">
                  <c:v>Après plan d'actions</c:v>
                </c:pt>
              </c:strCache>
            </c:strRef>
          </c:cat>
          <c:val>
            <c:numRef>
              <c:f>'Paramètres et Résultats'!$AR$31:$AS$31</c:f>
              <c:numCache>
                <c:formatCode>#\ ##0\ "€"</c:formatCode>
                <c:ptCount val="2"/>
                <c:pt idx="0">
                  <c:v>0</c:v>
                </c:pt>
                <c:pt idx="1">
                  <c:v>0</c:v>
                </c:pt>
              </c:numCache>
            </c:numRef>
          </c:val>
          <c:extLst>
            <c:ext xmlns:c16="http://schemas.microsoft.com/office/drawing/2014/chart" uri="{C3380CC4-5D6E-409C-BE32-E72D297353CC}">
              <c16:uniqueId val="{00000004-06C5-428F-89DF-B957DEABCFEC}"/>
            </c:ext>
          </c:extLst>
        </c:ser>
        <c:ser>
          <c:idx val="5"/>
          <c:order val="5"/>
          <c:tx>
            <c:strRef>
              <c:f>'Paramètres et Résultats'!$AQ$32</c:f>
              <c:strCache>
                <c:ptCount val="1"/>
                <c:pt idx="0">
                  <c:v>Bois</c:v>
                </c:pt>
              </c:strCache>
            </c:strRef>
          </c:tx>
          <c:spPr>
            <a:solidFill>
              <a:schemeClr val="accent6"/>
            </a:solidFill>
            <a:ln>
              <a:noFill/>
            </a:ln>
            <a:effectLst/>
          </c:spPr>
          <c:invertIfNegative val="0"/>
          <c:cat>
            <c:strRef>
              <c:f>'Paramètres et Résultats'!$AR$26:$AS$26</c:f>
              <c:strCache>
                <c:ptCount val="2"/>
                <c:pt idx="0">
                  <c:v>Avant plan d'actions</c:v>
                </c:pt>
                <c:pt idx="1">
                  <c:v>Après plan d'actions</c:v>
                </c:pt>
              </c:strCache>
            </c:strRef>
          </c:cat>
          <c:val>
            <c:numRef>
              <c:f>'Paramètres et Résultats'!$AR$32:$AS$32</c:f>
              <c:numCache>
                <c:formatCode>#\ ##0\ "€"</c:formatCode>
                <c:ptCount val="2"/>
                <c:pt idx="0">
                  <c:v>0</c:v>
                </c:pt>
                <c:pt idx="1">
                  <c:v>0</c:v>
                </c:pt>
              </c:numCache>
            </c:numRef>
          </c:val>
          <c:extLst>
            <c:ext xmlns:c16="http://schemas.microsoft.com/office/drawing/2014/chart" uri="{C3380CC4-5D6E-409C-BE32-E72D297353CC}">
              <c16:uniqueId val="{00000005-06C5-428F-89DF-B957DEABCFEC}"/>
            </c:ext>
          </c:extLst>
        </c:ser>
        <c:ser>
          <c:idx val="6"/>
          <c:order val="6"/>
          <c:tx>
            <c:strRef>
              <c:f>'Paramètres et Résultats'!$AQ$33</c:f>
              <c:strCache>
                <c:ptCount val="1"/>
                <c:pt idx="0">
                  <c:v>Vapeur</c:v>
                </c:pt>
              </c:strCache>
            </c:strRef>
          </c:tx>
          <c:spPr>
            <a:solidFill>
              <a:schemeClr val="accent1">
                <a:lumMod val="60000"/>
              </a:schemeClr>
            </a:solidFill>
            <a:ln>
              <a:noFill/>
            </a:ln>
            <a:effectLst/>
          </c:spPr>
          <c:invertIfNegative val="0"/>
          <c:cat>
            <c:strRef>
              <c:f>'Paramètres et Résultats'!$AR$26:$AS$26</c:f>
              <c:strCache>
                <c:ptCount val="2"/>
                <c:pt idx="0">
                  <c:v>Avant plan d'actions</c:v>
                </c:pt>
                <c:pt idx="1">
                  <c:v>Après plan d'actions</c:v>
                </c:pt>
              </c:strCache>
            </c:strRef>
          </c:cat>
          <c:val>
            <c:numRef>
              <c:f>'Paramètres et Résultats'!$AR$33:$AS$33</c:f>
              <c:numCache>
                <c:formatCode>#\ ##0\ "€"</c:formatCode>
                <c:ptCount val="2"/>
                <c:pt idx="0">
                  <c:v>0</c:v>
                </c:pt>
                <c:pt idx="1">
                  <c:v>0</c:v>
                </c:pt>
              </c:numCache>
            </c:numRef>
          </c:val>
          <c:extLst>
            <c:ext xmlns:c16="http://schemas.microsoft.com/office/drawing/2014/chart" uri="{C3380CC4-5D6E-409C-BE32-E72D297353CC}">
              <c16:uniqueId val="{00000006-06C5-428F-89DF-B957DEABCFEC}"/>
            </c:ext>
          </c:extLst>
        </c:ser>
        <c:ser>
          <c:idx val="7"/>
          <c:order val="7"/>
          <c:tx>
            <c:strRef>
              <c:f>'Paramètres et Résultats'!$AQ$34</c:f>
              <c:strCache>
                <c:ptCount val="1"/>
                <c:pt idx="0">
                  <c:v>Autre</c:v>
                </c:pt>
              </c:strCache>
            </c:strRef>
          </c:tx>
          <c:spPr>
            <a:solidFill>
              <a:schemeClr val="accent2">
                <a:lumMod val="60000"/>
              </a:schemeClr>
            </a:solidFill>
            <a:ln>
              <a:noFill/>
            </a:ln>
            <a:effectLst/>
          </c:spPr>
          <c:invertIfNegative val="0"/>
          <c:cat>
            <c:strRef>
              <c:f>'Paramètres et Résultats'!$AR$26:$AS$26</c:f>
              <c:strCache>
                <c:ptCount val="2"/>
                <c:pt idx="0">
                  <c:v>Avant plan d'actions</c:v>
                </c:pt>
                <c:pt idx="1">
                  <c:v>Après plan d'actions</c:v>
                </c:pt>
              </c:strCache>
            </c:strRef>
          </c:cat>
          <c:val>
            <c:numRef>
              <c:f>'Paramètres et Résultats'!$AR$34:$AS$34</c:f>
              <c:numCache>
                <c:formatCode>#\ ##0\ "€"</c:formatCode>
                <c:ptCount val="2"/>
                <c:pt idx="0">
                  <c:v>0</c:v>
                </c:pt>
                <c:pt idx="1">
                  <c:v>0</c:v>
                </c:pt>
              </c:numCache>
            </c:numRef>
          </c:val>
          <c:extLst>
            <c:ext xmlns:c16="http://schemas.microsoft.com/office/drawing/2014/chart" uri="{C3380CC4-5D6E-409C-BE32-E72D297353CC}">
              <c16:uniqueId val="{00000007-06C5-428F-89DF-B957DEABCFEC}"/>
            </c:ext>
          </c:extLst>
        </c:ser>
        <c:dLbls>
          <c:showLegendKey val="0"/>
          <c:showVal val="0"/>
          <c:showCatName val="0"/>
          <c:showSerName val="0"/>
          <c:showPercent val="0"/>
          <c:showBubbleSize val="0"/>
        </c:dLbls>
        <c:gapWidth val="100"/>
        <c:overlap val="100"/>
        <c:axId val="163902976"/>
        <c:axId val="175122112"/>
      </c:barChart>
      <c:catAx>
        <c:axId val="16390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75122112"/>
        <c:crosses val="autoZero"/>
        <c:auto val="1"/>
        <c:lblAlgn val="ctr"/>
        <c:lblOffset val="100"/>
        <c:noMultiLvlLbl val="0"/>
      </c:catAx>
      <c:valAx>
        <c:axId val="1751221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vert="horz"/>
          <a:lstStyle/>
          <a:p>
            <a:pPr>
              <a:defRPr/>
            </a:pPr>
            <a:endParaRPr lang="fr-FR"/>
          </a:p>
        </c:txPr>
        <c:crossAx val="163902976"/>
        <c:crosses val="autoZero"/>
        <c:crossBetween val="between"/>
      </c:valAx>
      <c:spPr>
        <a:noFill/>
        <a:ln>
          <a:noFill/>
        </a:ln>
        <a:effectLst/>
      </c:spPr>
    </c:plotArea>
    <c:legend>
      <c:legendPos val="r"/>
      <c:layout>
        <c:manualLayout>
          <c:xMode val="edge"/>
          <c:yMode val="edge"/>
          <c:x val="0.73787442523278035"/>
          <c:y val="0.23908253552699221"/>
          <c:w val="0.24642903785172499"/>
          <c:h val="0.62019934396296028"/>
        </c:manualLayout>
      </c:layout>
      <c:overlay val="0"/>
      <c:spPr>
        <a:noFill/>
        <a:ln>
          <a:noFill/>
        </a:ln>
        <a:effectLst/>
      </c:spPr>
      <c:txPr>
        <a:bodyPr rot="0" vert="horz"/>
        <a:lstStyle/>
        <a:p>
          <a:pPr>
            <a:defRPr/>
          </a:pPr>
          <a:endParaRPr lang="fr-FR"/>
        </a:p>
      </c:txPr>
    </c:legend>
    <c:plotVisOnly val="0"/>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solidFill>
                  <a:sysClr val="windowText" lastClr="000000"/>
                </a:solidFill>
              </a:rPr>
              <a:t>Emissions</a:t>
            </a:r>
            <a:r>
              <a:rPr lang="fr-FR" sz="1100" b="1" baseline="0">
                <a:solidFill>
                  <a:sysClr val="windowText" lastClr="000000"/>
                </a:solidFill>
              </a:rPr>
              <a:t> CO2</a:t>
            </a:r>
            <a:r>
              <a:rPr lang="fr-FR" sz="1100" b="1">
                <a:solidFill>
                  <a:sysClr val="windowText" lastClr="000000"/>
                </a:solidFill>
              </a:rPr>
              <a:t> Avant / Après - tCO2eq</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'Paramètres et Résultats'!$AW$27</c:f>
              <c:strCache>
                <c:ptCount val="1"/>
                <c:pt idx="0">
                  <c:v>Electricité</c:v>
                </c:pt>
              </c:strCache>
            </c:strRef>
          </c:tx>
          <c:spPr>
            <a:solidFill>
              <a:schemeClr val="accent1"/>
            </a:solidFill>
            <a:ln>
              <a:noFill/>
            </a:ln>
            <a:effectLst/>
          </c:spPr>
          <c:invertIfNegative val="0"/>
          <c:cat>
            <c:strRef>
              <c:f>'Paramètres et Résultats'!$AX$26:$AY$26</c:f>
              <c:strCache>
                <c:ptCount val="2"/>
                <c:pt idx="0">
                  <c:v>Avant plan d'actions</c:v>
                </c:pt>
                <c:pt idx="1">
                  <c:v>Après plan d'actions</c:v>
                </c:pt>
              </c:strCache>
            </c:strRef>
          </c:cat>
          <c:val>
            <c:numRef>
              <c:f>'Paramètres et Résultats'!$AX$27:$AY$27</c:f>
              <c:numCache>
                <c:formatCode>General</c:formatCode>
                <c:ptCount val="2"/>
                <c:pt idx="0">
                  <c:v>840</c:v>
                </c:pt>
                <c:pt idx="1">
                  <c:v>701.23199999999997</c:v>
                </c:pt>
              </c:numCache>
            </c:numRef>
          </c:val>
          <c:extLst>
            <c:ext xmlns:c16="http://schemas.microsoft.com/office/drawing/2014/chart" uri="{C3380CC4-5D6E-409C-BE32-E72D297353CC}">
              <c16:uniqueId val="{00000000-4D11-4B2D-8473-57F638CEAA3E}"/>
            </c:ext>
          </c:extLst>
        </c:ser>
        <c:ser>
          <c:idx val="1"/>
          <c:order val="1"/>
          <c:tx>
            <c:strRef>
              <c:f>'Paramètres et Résultats'!$AW$28</c:f>
              <c:strCache>
                <c:ptCount val="1"/>
                <c:pt idx="0">
                  <c:v>Gaz naturel</c:v>
                </c:pt>
              </c:strCache>
            </c:strRef>
          </c:tx>
          <c:spPr>
            <a:solidFill>
              <a:schemeClr val="accent2"/>
            </a:solidFill>
            <a:ln>
              <a:noFill/>
            </a:ln>
            <a:effectLst/>
          </c:spPr>
          <c:invertIfNegative val="0"/>
          <c:cat>
            <c:strRef>
              <c:f>'Paramètres et Résultats'!$AX$26:$AY$26</c:f>
              <c:strCache>
                <c:ptCount val="2"/>
                <c:pt idx="0">
                  <c:v>Avant plan d'actions</c:v>
                </c:pt>
                <c:pt idx="1">
                  <c:v>Après plan d'actions</c:v>
                </c:pt>
              </c:strCache>
            </c:strRef>
          </c:cat>
          <c:val>
            <c:numRef>
              <c:f>'Paramètres et Résultats'!$AX$28:$AY$28</c:f>
              <c:numCache>
                <c:formatCode>General</c:formatCode>
                <c:ptCount val="2"/>
                <c:pt idx="0">
                  <c:v>4100</c:v>
                </c:pt>
                <c:pt idx="1">
                  <c:v>3588.32</c:v>
                </c:pt>
              </c:numCache>
            </c:numRef>
          </c:val>
          <c:extLst>
            <c:ext xmlns:c16="http://schemas.microsoft.com/office/drawing/2014/chart" uri="{C3380CC4-5D6E-409C-BE32-E72D297353CC}">
              <c16:uniqueId val="{00000001-4D11-4B2D-8473-57F638CEAA3E}"/>
            </c:ext>
          </c:extLst>
        </c:ser>
        <c:ser>
          <c:idx val="2"/>
          <c:order val="2"/>
          <c:tx>
            <c:strRef>
              <c:f>'Paramètres et Résultats'!$AW$29</c:f>
              <c:strCache>
                <c:ptCount val="1"/>
                <c:pt idx="0">
                  <c:v>Fioul lourd</c:v>
                </c:pt>
              </c:strCache>
            </c:strRef>
          </c:tx>
          <c:spPr>
            <a:solidFill>
              <a:schemeClr val="accent3"/>
            </a:solidFill>
            <a:ln>
              <a:noFill/>
            </a:ln>
            <a:effectLst/>
          </c:spPr>
          <c:invertIfNegative val="0"/>
          <c:cat>
            <c:strRef>
              <c:f>'Paramètres et Résultats'!$AX$26:$AY$26</c:f>
              <c:strCache>
                <c:ptCount val="2"/>
                <c:pt idx="0">
                  <c:v>Avant plan d'actions</c:v>
                </c:pt>
                <c:pt idx="1">
                  <c:v>Après plan d'actions</c:v>
                </c:pt>
              </c:strCache>
            </c:strRef>
          </c:cat>
          <c:val>
            <c:numRef>
              <c:f>'Paramètres et Résultats'!$AX$29:$AY$29</c:f>
              <c:numCache>
                <c:formatCode>General</c:formatCode>
                <c:ptCount val="2"/>
                <c:pt idx="0">
                  <c:v>0</c:v>
                </c:pt>
                <c:pt idx="1">
                  <c:v>0</c:v>
                </c:pt>
              </c:numCache>
            </c:numRef>
          </c:val>
          <c:extLst>
            <c:ext xmlns:c16="http://schemas.microsoft.com/office/drawing/2014/chart" uri="{C3380CC4-5D6E-409C-BE32-E72D297353CC}">
              <c16:uniqueId val="{00000002-4D11-4B2D-8473-57F638CEAA3E}"/>
            </c:ext>
          </c:extLst>
        </c:ser>
        <c:ser>
          <c:idx val="3"/>
          <c:order val="3"/>
          <c:tx>
            <c:strRef>
              <c:f>'Paramètres et Résultats'!$AW$30</c:f>
              <c:strCache>
                <c:ptCount val="1"/>
                <c:pt idx="0">
                  <c:v>Fioul domestique</c:v>
                </c:pt>
              </c:strCache>
            </c:strRef>
          </c:tx>
          <c:spPr>
            <a:solidFill>
              <a:schemeClr val="accent4"/>
            </a:solidFill>
            <a:ln>
              <a:noFill/>
            </a:ln>
            <a:effectLst/>
          </c:spPr>
          <c:invertIfNegative val="0"/>
          <c:cat>
            <c:strRef>
              <c:f>'Paramètres et Résultats'!$AX$26:$AY$26</c:f>
              <c:strCache>
                <c:ptCount val="2"/>
                <c:pt idx="0">
                  <c:v>Avant plan d'actions</c:v>
                </c:pt>
                <c:pt idx="1">
                  <c:v>Après plan d'actions</c:v>
                </c:pt>
              </c:strCache>
            </c:strRef>
          </c:cat>
          <c:val>
            <c:numRef>
              <c:f>'Paramètres et Résultats'!$AX$30:$AY$30</c:f>
              <c:numCache>
                <c:formatCode>General</c:formatCode>
                <c:ptCount val="2"/>
                <c:pt idx="0">
                  <c:v>0</c:v>
                </c:pt>
                <c:pt idx="1">
                  <c:v>0</c:v>
                </c:pt>
              </c:numCache>
            </c:numRef>
          </c:val>
          <c:extLst>
            <c:ext xmlns:c16="http://schemas.microsoft.com/office/drawing/2014/chart" uri="{C3380CC4-5D6E-409C-BE32-E72D297353CC}">
              <c16:uniqueId val="{00000003-4D11-4B2D-8473-57F638CEAA3E}"/>
            </c:ext>
          </c:extLst>
        </c:ser>
        <c:ser>
          <c:idx val="4"/>
          <c:order val="4"/>
          <c:tx>
            <c:strRef>
              <c:f>'Paramètres et Résultats'!$AW$31</c:f>
              <c:strCache>
                <c:ptCount val="1"/>
                <c:pt idx="0">
                  <c:v>GPL</c:v>
                </c:pt>
              </c:strCache>
            </c:strRef>
          </c:tx>
          <c:spPr>
            <a:solidFill>
              <a:schemeClr val="accent5"/>
            </a:solidFill>
            <a:ln>
              <a:noFill/>
            </a:ln>
            <a:effectLst/>
          </c:spPr>
          <c:invertIfNegative val="0"/>
          <c:cat>
            <c:strRef>
              <c:f>'Paramètres et Résultats'!$AX$26:$AY$26</c:f>
              <c:strCache>
                <c:ptCount val="2"/>
                <c:pt idx="0">
                  <c:v>Avant plan d'actions</c:v>
                </c:pt>
                <c:pt idx="1">
                  <c:v>Après plan d'actions</c:v>
                </c:pt>
              </c:strCache>
            </c:strRef>
          </c:cat>
          <c:val>
            <c:numRef>
              <c:f>'Paramètres et Résultats'!$AX$31:$AY$31</c:f>
              <c:numCache>
                <c:formatCode>General</c:formatCode>
                <c:ptCount val="2"/>
                <c:pt idx="0">
                  <c:v>0</c:v>
                </c:pt>
                <c:pt idx="1">
                  <c:v>0</c:v>
                </c:pt>
              </c:numCache>
            </c:numRef>
          </c:val>
          <c:extLst>
            <c:ext xmlns:c16="http://schemas.microsoft.com/office/drawing/2014/chart" uri="{C3380CC4-5D6E-409C-BE32-E72D297353CC}">
              <c16:uniqueId val="{00000004-4D11-4B2D-8473-57F638CEAA3E}"/>
            </c:ext>
          </c:extLst>
        </c:ser>
        <c:ser>
          <c:idx val="5"/>
          <c:order val="5"/>
          <c:tx>
            <c:strRef>
              <c:f>'Paramètres et Résultats'!$AW$32</c:f>
              <c:strCache>
                <c:ptCount val="1"/>
                <c:pt idx="0">
                  <c:v>Bois</c:v>
                </c:pt>
              </c:strCache>
            </c:strRef>
          </c:tx>
          <c:spPr>
            <a:solidFill>
              <a:schemeClr val="accent6"/>
            </a:solidFill>
            <a:ln>
              <a:noFill/>
            </a:ln>
            <a:effectLst/>
          </c:spPr>
          <c:invertIfNegative val="0"/>
          <c:cat>
            <c:strRef>
              <c:f>'Paramètres et Résultats'!$AX$26:$AY$26</c:f>
              <c:strCache>
                <c:ptCount val="2"/>
                <c:pt idx="0">
                  <c:v>Avant plan d'actions</c:v>
                </c:pt>
                <c:pt idx="1">
                  <c:v>Après plan d'actions</c:v>
                </c:pt>
              </c:strCache>
            </c:strRef>
          </c:cat>
          <c:val>
            <c:numRef>
              <c:f>'Paramètres et Résultats'!$AX$32:$AY$32</c:f>
              <c:numCache>
                <c:formatCode>General</c:formatCode>
                <c:ptCount val="2"/>
                <c:pt idx="0">
                  <c:v>0</c:v>
                </c:pt>
                <c:pt idx="1">
                  <c:v>0</c:v>
                </c:pt>
              </c:numCache>
            </c:numRef>
          </c:val>
          <c:extLst>
            <c:ext xmlns:c16="http://schemas.microsoft.com/office/drawing/2014/chart" uri="{C3380CC4-5D6E-409C-BE32-E72D297353CC}">
              <c16:uniqueId val="{00000005-4D11-4B2D-8473-57F638CEAA3E}"/>
            </c:ext>
          </c:extLst>
        </c:ser>
        <c:ser>
          <c:idx val="6"/>
          <c:order val="6"/>
          <c:tx>
            <c:strRef>
              <c:f>'Paramètres et Résultats'!$AW$33</c:f>
              <c:strCache>
                <c:ptCount val="1"/>
                <c:pt idx="0">
                  <c:v>Vapeur</c:v>
                </c:pt>
              </c:strCache>
            </c:strRef>
          </c:tx>
          <c:spPr>
            <a:solidFill>
              <a:schemeClr val="accent1">
                <a:lumMod val="60000"/>
              </a:schemeClr>
            </a:solidFill>
            <a:ln>
              <a:noFill/>
            </a:ln>
            <a:effectLst/>
          </c:spPr>
          <c:invertIfNegative val="0"/>
          <c:cat>
            <c:strRef>
              <c:f>'Paramètres et Résultats'!$AX$26:$AY$26</c:f>
              <c:strCache>
                <c:ptCount val="2"/>
                <c:pt idx="0">
                  <c:v>Avant plan d'actions</c:v>
                </c:pt>
                <c:pt idx="1">
                  <c:v>Après plan d'actions</c:v>
                </c:pt>
              </c:strCache>
            </c:strRef>
          </c:cat>
          <c:val>
            <c:numRef>
              <c:f>'Paramètres et Résultats'!$AX$33:$AY$33</c:f>
              <c:numCache>
                <c:formatCode>General</c:formatCode>
                <c:ptCount val="2"/>
                <c:pt idx="0">
                  <c:v>0</c:v>
                </c:pt>
                <c:pt idx="1">
                  <c:v>0</c:v>
                </c:pt>
              </c:numCache>
            </c:numRef>
          </c:val>
          <c:extLst>
            <c:ext xmlns:c16="http://schemas.microsoft.com/office/drawing/2014/chart" uri="{C3380CC4-5D6E-409C-BE32-E72D297353CC}">
              <c16:uniqueId val="{00000006-4D11-4B2D-8473-57F638CEAA3E}"/>
            </c:ext>
          </c:extLst>
        </c:ser>
        <c:ser>
          <c:idx val="7"/>
          <c:order val="7"/>
          <c:tx>
            <c:strRef>
              <c:f>'Paramètres et Résultats'!$AW$34</c:f>
              <c:strCache>
                <c:ptCount val="1"/>
                <c:pt idx="0">
                  <c:v>Autre</c:v>
                </c:pt>
              </c:strCache>
            </c:strRef>
          </c:tx>
          <c:spPr>
            <a:solidFill>
              <a:schemeClr val="accent2">
                <a:lumMod val="60000"/>
              </a:schemeClr>
            </a:solidFill>
            <a:ln>
              <a:noFill/>
            </a:ln>
            <a:effectLst/>
          </c:spPr>
          <c:invertIfNegative val="0"/>
          <c:cat>
            <c:strRef>
              <c:f>'Paramètres et Résultats'!$AX$26:$AY$26</c:f>
              <c:strCache>
                <c:ptCount val="2"/>
                <c:pt idx="0">
                  <c:v>Avant plan d'actions</c:v>
                </c:pt>
                <c:pt idx="1">
                  <c:v>Après plan d'actions</c:v>
                </c:pt>
              </c:strCache>
            </c:strRef>
          </c:cat>
          <c:val>
            <c:numRef>
              <c:f>'Paramètres et Résultats'!$AX$34:$AY$34</c:f>
              <c:numCache>
                <c:formatCode>General</c:formatCode>
                <c:ptCount val="2"/>
                <c:pt idx="0">
                  <c:v>0</c:v>
                </c:pt>
                <c:pt idx="1">
                  <c:v>0</c:v>
                </c:pt>
              </c:numCache>
            </c:numRef>
          </c:val>
          <c:extLst>
            <c:ext xmlns:c16="http://schemas.microsoft.com/office/drawing/2014/chart" uri="{C3380CC4-5D6E-409C-BE32-E72D297353CC}">
              <c16:uniqueId val="{00000007-4D11-4B2D-8473-57F638CEAA3E}"/>
            </c:ext>
          </c:extLst>
        </c:ser>
        <c:dLbls>
          <c:showLegendKey val="0"/>
          <c:showVal val="0"/>
          <c:showCatName val="0"/>
          <c:showSerName val="0"/>
          <c:showPercent val="0"/>
          <c:showBubbleSize val="0"/>
        </c:dLbls>
        <c:gapWidth val="100"/>
        <c:overlap val="100"/>
        <c:axId val="172615680"/>
        <c:axId val="175124992"/>
      </c:barChart>
      <c:catAx>
        <c:axId val="17261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5124992"/>
        <c:crosses val="autoZero"/>
        <c:auto val="1"/>
        <c:lblAlgn val="ctr"/>
        <c:lblOffset val="100"/>
        <c:noMultiLvlLbl val="0"/>
      </c:catAx>
      <c:valAx>
        <c:axId val="175124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tCO2eq</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26156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0"/>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 d''actions'!$AK$5</c:f>
          <c:strCache>
            <c:ptCount val="1"/>
            <c:pt idx="0">
              <c:v>Gains annuels sur la facture énergétique : 200 K€</c:v>
            </c:pt>
          </c:strCache>
        </c:strRef>
      </c:tx>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74-4BC0-AA2C-92B7A56350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74-4BC0-AA2C-92B7A56350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74-4BC0-AA2C-92B7A56350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74-4BC0-AA2C-92B7A56350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74-4BC0-AA2C-92B7A563504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474-4BC0-AA2C-92B7A563504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474-4BC0-AA2C-92B7A563504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474-4BC0-AA2C-92B7A563504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474-4BC0-AA2C-92B7A563504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474-4BC0-AA2C-92B7A563504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474-4BC0-AA2C-92B7A563504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474-4BC0-AA2C-92B7A563504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474-4BC0-AA2C-92B7A563504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474-4BC0-AA2C-92B7A563504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E474-4BC0-AA2C-92B7A563504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E474-4BC0-AA2C-92B7A563504F}"/>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E474-4BC0-AA2C-92B7A563504F}"/>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E474-4BC0-AA2C-92B7A563504F}"/>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E474-4BC0-AA2C-92B7A563504F}"/>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E474-4BC0-AA2C-92B7A563504F}"/>
              </c:ext>
            </c:extLst>
          </c:dPt>
          <c:dLbls>
            <c:spPr>
              <a:noFill/>
              <a:ln>
                <a:noFill/>
              </a:ln>
              <a:effectLst/>
            </c:sp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Liste!$S$3:$S$22</c:f>
              <c:strCache>
                <c:ptCount val="20"/>
                <c:pt idx="0">
                  <c:v>Action 1</c:v>
                </c:pt>
                <c:pt idx="1">
                  <c:v>Action 2</c:v>
                </c:pt>
                <c:pt idx="2">
                  <c:v>Action 3</c:v>
                </c:pt>
                <c:pt idx="3">
                  <c:v>Action 4</c:v>
                </c:pt>
                <c:pt idx="4">
                  <c:v>Action 5</c:v>
                </c:pt>
                <c:pt idx="5">
                  <c:v>Action 6</c:v>
                </c:pt>
                <c:pt idx="6">
                  <c:v>Action 7</c:v>
                </c:pt>
                <c:pt idx="7">
                  <c:v>Action 8</c:v>
                </c:pt>
                <c:pt idx="8">
                  <c:v>Action 9</c:v>
                </c:pt>
                <c:pt idx="9">
                  <c:v>Action 10</c:v>
                </c:pt>
                <c:pt idx="10">
                  <c:v>Action 11</c:v>
                </c:pt>
                <c:pt idx="11">
                  <c:v>Action 12</c:v>
                </c:pt>
                <c:pt idx="12">
                  <c:v>Action 13</c:v>
                </c:pt>
                <c:pt idx="13">
                  <c:v>Action 14</c:v>
                </c:pt>
                <c:pt idx="14">
                  <c:v>Action 15</c:v>
                </c:pt>
                <c:pt idx="15">
                  <c:v>Action 16</c:v>
                </c:pt>
                <c:pt idx="16">
                  <c:v>Action 17</c:v>
                </c:pt>
                <c:pt idx="17">
                  <c:v>Action 18</c:v>
                </c:pt>
                <c:pt idx="18">
                  <c:v>Action 19</c:v>
                </c:pt>
                <c:pt idx="19">
                  <c:v>Action 20</c:v>
                </c:pt>
              </c:strCache>
            </c:strRef>
          </c:cat>
          <c:val>
            <c:numRef>
              <c:f>'Plan d''actions'!$AL$7:$AL$26</c:f>
              <c:numCache>
                <c:formatCode>#,##0</c:formatCode>
                <c:ptCount val="20"/>
                <c:pt idx="0">
                  <c:v>45650.555555555555</c:v>
                </c:pt>
                <c:pt idx="1">
                  <c:v>5022</c:v>
                </c:pt>
                <c:pt idx="2">
                  <c:v>8453.7000000000007</c:v>
                </c:pt>
                <c:pt idx="3">
                  <c:v>9207</c:v>
                </c:pt>
                <c:pt idx="4">
                  <c:v>8788.5</c:v>
                </c:pt>
                <c:pt idx="5">
                  <c:v>17582.222222222223</c:v>
                </c:pt>
                <c:pt idx="6">
                  <c:v>24533.333333333332</c:v>
                </c:pt>
                <c:pt idx="7">
                  <c:v>14965.333333333332</c:v>
                </c:pt>
                <c:pt idx="8">
                  <c:v>28622.222222222219</c:v>
                </c:pt>
                <c:pt idx="9">
                  <c:v>8370</c:v>
                </c:pt>
                <c:pt idx="10">
                  <c:v>8788.5</c:v>
                </c:pt>
                <c:pt idx="11">
                  <c:v>17577</c:v>
                </c:pt>
                <c:pt idx="12">
                  <c:v>2248.8888888888887</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28-E474-4BC0-AA2C-92B7A563504F}"/>
            </c:ext>
          </c:extLst>
        </c:ser>
        <c:dLbls>
          <c:showLegendKey val="0"/>
          <c:showVal val="0"/>
          <c:showCatName val="1"/>
          <c:showSerName val="0"/>
          <c:showPercent val="1"/>
          <c:showBubbleSize val="0"/>
          <c:showLeaderLines val="1"/>
        </c:dLbls>
        <c:firstSliceAng val="0"/>
      </c:pieChart>
      <c:spPr>
        <a:noFill/>
        <a:ln>
          <a:noFill/>
        </a:ln>
        <a:effectLst/>
      </c:spPr>
    </c:plotArea>
    <c:plotVisOnly val="0"/>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 d''actions'!$AD$5</c:f>
          <c:strCache>
            <c:ptCount val="1"/>
            <c:pt idx="0">
              <c:v>Gains annuels sur la consommation d'énergie : 3700 MWh</c:v>
            </c:pt>
          </c:strCache>
        </c:strRef>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92-4637-9AC2-E7ADD82E98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92-4637-9AC2-E7ADD82E98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92-4637-9AC2-E7ADD82E98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492-4637-9AC2-E7ADD82E98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492-4637-9AC2-E7ADD82E983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492-4637-9AC2-E7ADD82E983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492-4637-9AC2-E7ADD82E983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492-4637-9AC2-E7ADD82E983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492-4637-9AC2-E7ADD82E983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492-4637-9AC2-E7ADD82E983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492-4637-9AC2-E7ADD82E983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492-4637-9AC2-E7ADD82E983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492-4637-9AC2-E7ADD82E983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492-4637-9AC2-E7ADD82E983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492-4637-9AC2-E7ADD82E9833}"/>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492-4637-9AC2-E7ADD82E9833}"/>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492-4637-9AC2-E7ADD82E9833}"/>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492-4637-9AC2-E7ADD82E9833}"/>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492-4637-9AC2-E7ADD82E9833}"/>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492-4637-9AC2-E7ADD82E9833}"/>
              </c:ext>
            </c:extLst>
          </c:dPt>
          <c:dLbls>
            <c:spPr>
              <a:noFill/>
              <a:ln>
                <a:noFill/>
              </a:ln>
              <a:effectLst/>
            </c:sp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Liste!$S$3:$S$22</c:f>
              <c:strCache>
                <c:ptCount val="20"/>
                <c:pt idx="0">
                  <c:v>Action 1</c:v>
                </c:pt>
                <c:pt idx="1">
                  <c:v>Action 2</c:v>
                </c:pt>
                <c:pt idx="2">
                  <c:v>Action 3</c:v>
                </c:pt>
                <c:pt idx="3">
                  <c:v>Action 4</c:v>
                </c:pt>
                <c:pt idx="4">
                  <c:v>Action 5</c:v>
                </c:pt>
                <c:pt idx="5">
                  <c:v>Action 6</c:v>
                </c:pt>
                <c:pt idx="6">
                  <c:v>Action 7</c:v>
                </c:pt>
                <c:pt idx="7">
                  <c:v>Action 8</c:v>
                </c:pt>
                <c:pt idx="8">
                  <c:v>Action 9</c:v>
                </c:pt>
                <c:pt idx="9">
                  <c:v>Action 10</c:v>
                </c:pt>
                <c:pt idx="10">
                  <c:v>Action 11</c:v>
                </c:pt>
                <c:pt idx="11">
                  <c:v>Action 12</c:v>
                </c:pt>
                <c:pt idx="12">
                  <c:v>Action 13</c:v>
                </c:pt>
                <c:pt idx="13">
                  <c:v>Action 14</c:v>
                </c:pt>
                <c:pt idx="14">
                  <c:v>Action 15</c:v>
                </c:pt>
                <c:pt idx="15">
                  <c:v>Action 16</c:v>
                </c:pt>
                <c:pt idx="16">
                  <c:v>Action 17</c:v>
                </c:pt>
                <c:pt idx="17">
                  <c:v>Action 18</c:v>
                </c:pt>
                <c:pt idx="18">
                  <c:v>Action 19</c:v>
                </c:pt>
                <c:pt idx="19">
                  <c:v>Action 20</c:v>
                </c:pt>
              </c:strCache>
            </c:strRef>
          </c:cat>
          <c:val>
            <c:numRef>
              <c:f>'Plan d''actions'!$AE$7:$AE$26</c:f>
              <c:numCache>
                <c:formatCode>#,##0</c:formatCode>
                <c:ptCount val="20"/>
                <c:pt idx="0">
                  <c:v>750</c:v>
                </c:pt>
                <c:pt idx="1">
                  <c:v>60</c:v>
                </c:pt>
                <c:pt idx="2">
                  <c:v>101</c:v>
                </c:pt>
                <c:pt idx="3">
                  <c:v>110</c:v>
                </c:pt>
                <c:pt idx="4">
                  <c:v>105</c:v>
                </c:pt>
                <c:pt idx="5">
                  <c:v>430</c:v>
                </c:pt>
                <c:pt idx="6">
                  <c:v>600</c:v>
                </c:pt>
                <c:pt idx="7">
                  <c:v>366</c:v>
                </c:pt>
                <c:pt idx="8">
                  <c:v>700</c:v>
                </c:pt>
                <c:pt idx="9">
                  <c:v>100</c:v>
                </c:pt>
                <c:pt idx="10">
                  <c:v>105</c:v>
                </c:pt>
                <c:pt idx="11">
                  <c:v>210</c:v>
                </c:pt>
                <c:pt idx="12">
                  <c:v>55</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28-4492-4637-9AC2-E7ADD82E9833}"/>
            </c:ext>
          </c:extLst>
        </c:ser>
        <c:dLbls>
          <c:showLegendKey val="0"/>
          <c:showVal val="0"/>
          <c:showCatName val="0"/>
          <c:showSerName val="0"/>
          <c:showPercent val="1"/>
          <c:showBubbleSize val="0"/>
          <c:showLeaderLines val="1"/>
        </c:dLbls>
        <c:firstSliceAng val="0"/>
      </c:pieChart>
      <c:spPr>
        <a:noFill/>
        <a:ln>
          <a:noFill/>
        </a:ln>
        <a:effectLst/>
      </c:spPr>
    </c:plotArea>
    <c:plotVisOnly val="0"/>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 d''actions'!$AR$5</c:f>
          <c:strCache>
            <c:ptCount val="1"/>
            <c:pt idx="0">
              <c:v>Réduction des émissions de CO2 : 620 tCO2eq</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66-422E-A2E7-F55980DD71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66-422E-A2E7-F55980DD71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666-422E-A2E7-F55980DD71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666-422E-A2E7-F55980DD71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666-422E-A2E7-F55980DD715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666-422E-A2E7-F55980DD715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666-422E-A2E7-F55980DD715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666-422E-A2E7-F55980DD715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666-422E-A2E7-F55980DD715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666-422E-A2E7-F55980DD715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666-422E-A2E7-F55980DD715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666-422E-A2E7-F55980DD715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666-422E-A2E7-F55980DD715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666-422E-A2E7-F55980DD715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8666-422E-A2E7-F55980DD7156}"/>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8666-422E-A2E7-F55980DD715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8666-422E-A2E7-F55980DD7156}"/>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8666-422E-A2E7-F55980DD7156}"/>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8666-422E-A2E7-F55980DD7156}"/>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8666-422E-A2E7-F55980DD7156}"/>
              </c:ext>
            </c:extLst>
          </c:dPt>
          <c:dLbls>
            <c:spPr>
              <a:noFill/>
              <a:ln>
                <a:noFill/>
              </a:ln>
              <a:effectLst/>
            </c:sp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Liste!$S$3:$S$22</c:f>
              <c:strCache>
                <c:ptCount val="20"/>
                <c:pt idx="0">
                  <c:v>Action 1</c:v>
                </c:pt>
                <c:pt idx="1">
                  <c:v>Action 2</c:v>
                </c:pt>
                <c:pt idx="2">
                  <c:v>Action 3</c:v>
                </c:pt>
                <c:pt idx="3">
                  <c:v>Action 4</c:v>
                </c:pt>
                <c:pt idx="4">
                  <c:v>Action 5</c:v>
                </c:pt>
                <c:pt idx="5">
                  <c:v>Action 6</c:v>
                </c:pt>
                <c:pt idx="6">
                  <c:v>Action 7</c:v>
                </c:pt>
                <c:pt idx="7">
                  <c:v>Action 8</c:v>
                </c:pt>
                <c:pt idx="8">
                  <c:v>Action 9</c:v>
                </c:pt>
                <c:pt idx="9">
                  <c:v>Action 10</c:v>
                </c:pt>
                <c:pt idx="10">
                  <c:v>Action 11</c:v>
                </c:pt>
                <c:pt idx="11">
                  <c:v>Action 12</c:v>
                </c:pt>
                <c:pt idx="12">
                  <c:v>Action 13</c:v>
                </c:pt>
                <c:pt idx="13">
                  <c:v>Action 14</c:v>
                </c:pt>
                <c:pt idx="14">
                  <c:v>Action 15</c:v>
                </c:pt>
                <c:pt idx="15">
                  <c:v>Action 16</c:v>
                </c:pt>
                <c:pt idx="16">
                  <c:v>Action 17</c:v>
                </c:pt>
                <c:pt idx="17">
                  <c:v>Action 18</c:v>
                </c:pt>
                <c:pt idx="18">
                  <c:v>Action 19</c:v>
                </c:pt>
                <c:pt idx="19">
                  <c:v>Action 20</c:v>
                </c:pt>
              </c:strCache>
            </c:strRef>
          </c:cat>
          <c:val>
            <c:numRef>
              <c:f>'Plan d''actions'!$AS$7:$AS$26</c:f>
              <c:numCache>
                <c:formatCode>#,##0</c:formatCode>
                <c:ptCount val="20"/>
                <c:pt idx="0">
                  <c:v>111.4</c:v>
                </c:pt>
                <c:pt idx="1">
                  <c:v>5.04</c:v>
                </c:pt>
                <c:pt idx="2">
                  <c:v>8.484</c:v>
                </c:pt>
                <c:pt idx="3">
                  <c:v>9.24</c:v>
                </c:pt>
                <c:pt idx="4">
                  <c:v>8.82</c:v>
                </c:pt>
                <c:pt idx="5">
                  <c:v>88.15</c:v>
                </c:pt>
                <c:pt idx="6">
                  <c:v>123</c:v>
                </c:pt>
                <c:pt idx="7">
                  <c:v>75.03</c:v>
                </c:pt>
                <c:pt idx="8">
                  <c:v>143.5</c:v>
                </c:pt>
                <c:pt idx="9">
                  <c:v>8.4</c:v>
                </c:pt>
                <c:pt idx="10">
                  <c:v>8.82</c:v>
                </c:pt>
                <c:pt idx="11">
                  <c:v>17.64</c:v>
                </c:pt>
                <c:pt idx="12">
                  <c:v>11.275</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28-8666-422E-A2E7-F55980DD7156}"/>
            </c:ext>
          </c:extLst>
        </c:ser>
        <c:dLbls>
          <c:showLegendKey val="0"/>
          <c:showVal val="0"/>
          <c:showCatName val="1"/>
          <c:showSerName val="0"/>
          <c:showPercent val="1"/>
          <c:showBubbleSize val="0"/>
          <c:showLeaderLines val="1"/>
        </c:dLbls>
        <c:firstSliceAng val="0"/>
      </c:pieChart>
      <c:spPr>
        <a:noFill/>
        <a:ln>
          <a:noFill/>
        </a:ln>
        <a:effectLst/>
      </c:spPr>
    </c:plotArea>
    <c:plotVisOnly val="0"/>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Résultats'!$W$74</c:f>
          <c:strCache>
            <c:ptCount val="1"/>
            <c:pt idx="0">
              <c:v>Gains sur la consommation énergétique - MWh / an</c:v>
            </c:pt>
          </c:strCache>
        </c:strRef>
      </c:tx>
      <c:overlay val="0"/>
      <c:txPr>
        <a:bodyPr/>
        <a:lstStyle/>
        <a:p>
          <a:pPr>
            <a:defRPr sz="1100"/>
          </a:pPr>
          <a:endParaRPr lang="fr-FR"/>
        </a:p>
      </c:txPr>
    </c:title>
    <c:autoTitleDeleted val="0"/>
    <c:plotArea>
      <c:layout/>
      <c:barChart>
        <c:barDir val="col"/>
        <c:grouping val="clustered"/>
        <c:varyColors val="0"/>
        <c:ser>
          <c:idx val="0"/>
          <c:order val="0"/>
          <c:tx>
            <c:strRef>
              <c:f>'Paramètres et Résultats'!$X$75</c:f>
              <c:strCache>
                <c:ptCount val="1"/>
              </c:strCache>
            </c:strRef>
          </c:tx>
          <c:spPr>
            <a:solidFill>
              <a:schemeClr val="accent1">
                <a:lumMod val="60000"/>
                <a:lumOff val="40000"/>
              </a:schemeClr>
            </a:solidFill>
          </c:spPr>
          <c:invertIfNegative val="0"/>
          <c:dPt>
            <c:idx val="0"/>
            <c:invertIfNegative val="0"/>
            <c:bubble3D val="0"/>
            <c:spPr>
              <a:solidFill>
                <a:schemeClr val="accent4"/>
              </a:solidFill>
            </c:spPr>
            <c:extLst>
              <c:ext xmlns:c16="http://schemas.microsoft.com/office/drawing/2014/chart" uri="{C3380CC4-5D6E-409C-BE32-E72D297353CC}">
                <c16:uniqueId val="{00000001-EE1E-4745-82A9-065AECDA4B1B}"/>
              </c:ext>
            </c:extLst>
          </c:dPt>
          <c:dPt>
            <c:idx val="1"/>
            <c:invertIfNegative val="0"/>
            <c:bubble3D val="0"/>
            <c:spPr>
              <a:solidFill>
                <a:schemeClr val="accent3"/>
              </a:solidFill>
            </c:spPr>
            <c:extLst>
              <c:ext xmlns:c16="http://schemas.microsoft.com/office/drawing/2014/chart" uri="{C3380CC4-5D6E-409C-BE32-E72D297353CC}">
                <c16:uniqueId val="{00000003-EE1E-4745-82A9-065AECDA4B1B}"/>
              </c:ext>
            </c:extLst>
          </c:dPt>
          <c:dPt>
            <c:idx val="2"/>
            <c:invertIfNegative val="0"/>
            <c:bubble3D val="0"/>
            <c:spPr>
              <a:solidFill>
                <a:schemeClr val="accent2"/>
              </a:solidFill>
            </c:spPr>
            <c:extLst>
              <c:ext xmlns:c16="http://schemas.microsoft.com/office/drawing/2014/chart" uri="{C3380CC4-5D6E-409C-BE32-E72D297353CC}">
                <c16:uniqueId val="{00000005-EE1E-4745-82A9-065AECDA4B1B}"/>
              </c:ext>
            </c:extLst>
          </c:dPt>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Résultats'!$W$76:$W$79</c:f>
              <c:strCache>
                <c:ptCount val="4"/>
                <c:pt idx="0">
                  <c:v>Prioritaire</c:v>
                </c:pt>
                <c:pt idx="1">
                  <c:v>Ambitieux</c:v>
                </c:pt>
                <c:pt idx="2">
                  <c:v>Très ambitieux</c:v>
                </c:pt>
                <c:pt idx="3">
                  <c:v>Total</c:v>
                </c:pt>
              </c:strCache>
            </c:strRef>
          </c:cat>
          <c:val>
            <c:numRef>
              <c:f>'Paramètres et Résultats'!$X$76:$X$79</c:f>
              <c:numCache>
                <c:formatCode>#\ ##0" MWh"</c:formatCode>
                <c:ptCount val="4"/>
                <c:pt idx="0">
                  <c:v>1921</c:v>
                </c:pt>
                <c:pt idx="1">
                  <c:v>1130</c:v>
                </c:pt>
                <c:pt idx="2">
                  <c:v>586</c:v>
                </c:pt>
                <c:pt idx="3">
                  <c:v>3692</c:v>
                </c:pt>
              </c:numCache>
            </c:numRef>
          </c:val>
          <c:extLst>
            <c:ext xmlns:c16="http://schemas.microsoft.com/office/drawing/2014/chart" uri="{C3380CC4-5D6E-409C-BE32-E72D297353CC}">
              <c16:uniqueId val="{00000006-EE1E-4745-82A9-065AECDA4B1B}"/>
            </c:ext>
          </c:extLst>
        </c:ser>
        <c:dLbls>
          <c:showLegendKey val="0"/>
          <c:showVal val="0"/>
          <c:showCatName val="0"/>
          <c:showSerName val="0"/>
          <c:showPercent val="0"/>
          <c:showBubbleSize val="0"/>
        </c:dLbls>
        <c:gapWidth val="75"/>
        <c:axId val="172616192"/>
        <c:axId val="183937280"/>
      </c:barChart>
      <c:catAx>
        <c:axId val="172616192"/>
        <c:scaling>
          <c:orientation val="minMax"/>
        </c:scaling>
        <c:delete val="0"/>
        <c:axPos val="b"/>
        <c:numFmt formatCode="General" sourceLinked="0"/>
        <c:majorTickMark val="out"/>
        <c:minorTickMark val="none"/>
        <c:tickLblPos val="nextTo"/>
        <c:crossAx val="183937280"/>
        <c:crosses val="autoZero"/>
        <c:auto val="1"/>
        <c:lblAlgn val="ctr"/>
        <c:lblOffset val="100"/>
        <c:noMultiLvlLbl val="0"/>
      </c:catAx>
      <c:valAx>
        <c:axId val="183937280"/>
        <c:scaling>
          <c:orientation val="minMax"/>
        </c:scaling>
        <c:delete val="1"/>
        <c:axPos val="l"/>
        <c:numFmt formatCode="#\ ##0&quot; MWh&quot;" sourceLinked="1"/>
        <c:majorTickMark val="out"/>
        <c:minorTickMark val="none"/>
        <c:tickLblPos val="nextTo"/>
        <c:crossAx val="172616192"/>
        <c:crosses val="autoZero"/>
        <c:crossBetween val="between"/>
      </c:valAx>
    </c:plotArea>
    <c:legend>
      <c:legendPos val="b"/>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Résultats'!$W$96</c:f>
          <c:strCache>
            <c:ptCount val="1"/>
            <c:pt idx="0">
              <c:v>Gains sur la facture énergétique - € / an</c:v>
            </c:pt>
          </c:strCache>
        </c:strRef>
      </c:tx>
      <c:overlay val="0"/>
      <c:txPr>
        <a:bodyPr/>
        <a:lstStyle/>
        <a:p>
          <a:pPr>
            <a:defRPr sz="1100"/>
          </a:pPr>
          <a:endParaRPr lang="fr-FR"/>
        </a:p>
      </c:txPr>
    </c:title>
    <c:autoTitleDeleted val="0"/>
    <c:plotArea>
      <c:layout/>
      <c:barChart>
        <c:barDir val="col"/>
        <c:grouping val="clustered"/>
        <c:varyColors val="0"/>
        <c:ser>
          <c:idx val="0"/>
          <c:order val="0"/>
          <c:tx>
            <c:strRef>
              <c:f>'Paramètres et Résultats'!$X$75</c:f>
              <c:strCache>
                <c:ptCount val="1"/>
              </c:strCache>
            </c:strRef>
          </c:tx>
          <c:spPr>
            <a:solidFill>
              <a:schemeClr val="accent1">
                <a:lumMod val="60000"/>
                <a:lumOff val="40000"/>
              </a:schemeClr>
            </a:solidFill>
          </c:spPr>
          <c:invertIfNegative val="0"/>
          <c:dPt>
            <c:idx val="0"/>
            <c:invertIfNegative val="0"/>
            <c:bubble3D val="0"/>
            <c:spPr>
              <a:solidFill>
                <a:schemeClr val="accent4"/>
              </a:solidFill>
            </c:spPr>
            <c:extLst>
              <c:ext xmlns:c16="http://schemas.microsoft.com/office/drawing/2014/chart" uri="{C3380CC4-5D6E-409C-BE32-E72D297353CC}">
                <c16:uniqueId val="{00000001-52F3-4E91-B373-3AD38667886F}"/>
              </c:ext>
            </c:extLst>
          </c:dPt>
          <c:dPt>
            <c:idx val="1"/>
            <c:invertIfNegative val="0"/>
            <c:bubble3D val="0"/>
            <c:spPr>
              <a:solidFill>
                <a:schemeClr val="accent3"/>
              </a:solidFill>
            </c:spPr>
            <c:extLst>
              <c:ext xmlns:c16="http://schemas.microsoft.com/office/drawing/2014/chart" uri="{C3380CC4-5D6E-409C-BE32-E72D297353CC}">
                <c16:uniqueId val="{00000003-52F3-4E91-B373-3AD38667886F}"/>
              </c:ext>
            </c:extLst>
          </c:dPt>
          <c:dPt>
            <c:idx val="2"/>
            <c:invertIfNegative val="0"/>
            <c:bubble3D val="0"/>
            <c:spPr>
              <a:solidFill>
                <a:schemeClr val="accent2"/>
              </a:solidFill>
            </c:spPr>
            <c:extLst>
              <c:ext xmlns:c16="http://schemas.microsoft.com/office/drawing/2014/chart" uri="{C3380CC4-5D6E-409C-BE32-E72D297353CC}">
                <c16:uniqueId val="{00000005-52F3-4E91-B373-3AD38667886F}"/>
              </c:ext>
            </c:extLst>
          </c:dPt>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Résultats'!$W$98:$W$101</c:f>
              <c:strCache>
                <c:ptCount val="4"/>
                <c:pt idx="0">
                  <c:v>Prioritaire</c:v>
                </c:pt>
                <c:pt idx="1">
                  <c:v>Ambitieux</c:v>
                </c:pt>
                <c:pt idx="2">
                  <c:v>Très ambitieux</c:v>
                </c:pt>
                <c:pt idx="3">
                  <c:v>Total</c:v>
                </c:pt>
              </c:strCache>
            </c:strRef>
          </c:cat>
          <c:val>
            <c:numRef>
              <c:f>'Paramètres et Résultats'!$X$98:$X$101</c:f>
              <c:numCache>
                <c:formatCode>#\ ##0\ "€"</c:formatCode>
                <c:ptCount val="4"/>
                <c:pt idx="0">
                  <c:v>102307.72222222222</c:v>
                </c:pt>
                <c:pt idx="1">
                  <c:v>46204.444444444438</c:v>
                </c:pt>
                <c:pt idx="2">
                  <c:v>49048.2</c:v>
                </c:pt>
                <c:pt idx="3">
                  <c:v>199809.25555555554</c:v>
                </c:pt>
              </c:numCache>
            </c:numRef>
          </c:val>
          <c:extLst>
            <c:ext xmlns:c16="http://schemas.microsoft.com/office/drawing/2014/chart" uri="{C3380CC4-5D6E-409C-BE32-E72D297353CC}">
              <c16:uniqueId val="{00000006-52F3-4E91-B373-3AD38667886F}"/>
            </c:ext>
          </c:extLst>
        </c:ser>
        <c:dLbls>
          <c:showLegendKey val="0"/>
          <c:showVal val="0"/>
          <c:showCatName val="0"/>
          <c:showSerName val="0"/>
          <c:showPercent val="0"/>
          <c:showBubbleSize val="0"/>
        </c:dLbls>
        <c:gapWidth val="75"/>
        <c:axId val="163474944"/>
        <c:axId val="183939008"/>
      </c:barChart>
      <c:catAx>
        <c:axId val="163474944"/>
        <c:scaling>
          <c:orientation val="minMax"/>
        </c:scaling>
        <c:delete val="0"/>
        <c:axPos val="b"/>
        <c:numFmt formatCode="General" sourceLinked="0"/>
        <c:majorTickMark val="out"/>
        <c:minorTickMark val="none"/>
        <c:tickLblPos val="nextTo"/>
        <c:crossAx val="183939008"/>
        <c:crosses val="autoZero"/>
        <c:auto val="1"/>
        <c:lblAlgn val="ctr"/>
        <c:lblOffset val="100"/>
        <c:noMultiLvlLbl val="0"/>
      </c:catAx>
      <c:valAx>
        <c:axId val="183939008"/>
        <c:scaling>
          <c:orientation val="minMax"/>
        </c:scaling>
        <c:delete val="1"/>
        <c:axPos val="l"/>
        <c:numFmt formatCode="#\ ##0\ &quot;€&quot;" sourceLinked="1"/>
        <c:majorTickMark val="out"/>
        <c:minorTickMark val="none"/>
        <c:tickLblPos val="nextTo"/>
        <c:crossAx val="163474944"/>
        <c:crosses val="autoZero"/>
        <c:crossBetween val="between"/>
      </c:valAx>
    </c:plotArea>
    <c:legend>
      <c:legendPos val="b"/>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'Paramètres et Résultats'!$W$117</c:f>
          <c:strCache>
            <c:ptCount val="1"/>
            <c:pt idx="0">
              <c:v>Réduction des émissions de CO2 - € / an</c:v>
            </c:pt>
          </c:strCache>
        </c:strRef>
      </c:tx>
      <c:overlay val="0"/>
      <c:txPr>
        <a:bodyPr/>
        <a:lstStyle/>
        <a:p>
          <a:pPr>
            <a:defRPr sz="1100"/>
          </a:pPr>
          <a:endParaRPr lang="fr-FR"/>
        </a:p>
      </c:txPr>
    </c:title>
    <c:autoTitleDeleted val="0"/>
    <c:plotArea>
      <c:layout/>
      <c:barChart>
        <c:barDir val="col"/>
        <c:grouping val="clustered"/>
        <c:varyColors val="0"/>
        <c:ser>
          <c:idx val="0"/>
          <c:order val="0"/>
          <c:tx>
            <c:strRef>
              <c:f>'Paramètres et Résultats'!$X$75</c:f>
              <c:strCache>
                <c:ptCount val="1"/>
              </c:strCache>
            </c:strRef>
          </c:tx>
          <c:spPr>
            <a:solidFill>
              <a:schemeClr val="accent1">
                <a:lumMod val="60000"/>
                <a:lumOff val="40000"/>
              </a:schemeClr>
            </a:solidFill>
          </c:spPr>
          <c:invertIfNegative val="0"/>
          <c:dPt>
            <c:idx val="0"/>
            <c:invertIfNegative val="0"/>
            <c:bubble3D val="0"/>
            <c:spPr>
              <a:solidFill>
                <a:schemeClr val="accent4"/>
              </a:solidFill>
            </c:spPr>
            <c:extLst>
              <c:ext xmlns:c16="http://schemas.microsoft.com/office/drawing/2014/chart" uri="{C3380CC4-5D6E-409C-BE32-E72D297353CC}">
                <c16:uniqueId val="{00000001-58DF-4221-8387-5B7E175C7D4A}"/>
              </c:ext>
            </c:extLst>
          </c:dPt>
          <c:dPt>
            <c:idx val="1"/>
            <c:invertIfNegative val="0"/>
            <c:bubble3D val="0"/>
            <c:spPr>
              <a:solidFill>
                <a:schemeClr val="accent3"/>
              </a:solidFill>
            </c:spPr>
            <c:extLst>
              <c:ext xmlns:c16="http://schemas.microsoft.com/office/drawing/2014/chart" uri="{C3380CC4-5D6E-409C-BE32-E72D297353CC}">
                <c16:uniqueId val="{00000003-58DF-4221-8387-5B7E175C7D4A}"/>
              </c:ext>
            </c:extLst>
          </c:dPt>
          <c:dPt>
            <c:idx val="2"/>
            <c:invertIfNegative val="0"/>
            <c:bubble3D val="0"/>
            <c:spPr>
              <a:solidFill>
                <a:schemeClr val="accent2"/>
              </a:solidFill>
            </c:spPr>
            <c:extLst>
              <c:ext xmlns:c16="http://schemas.microsoft.com/office/drawing/2014/chart" uri="{C3380CC4-5D6E-409C-BE32-E72D297353CC}">
                <c16:uniqueId val="{00000005-58DF-4221-8387-5B7E175C7D4A}"/>
              </c:ext>
            </c:extLst>
          </c:dPt>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'Paramètres et Résultats'!$W$119:$W$122</c:f>
              <c:strCache>
                <c:ptCount val="4"/>
                <c:pt idx="0">
                  <c:v>Prioritaire</c:v>
                </c:pt>
                <c:pt idx="1">
                  <c:v>Ambitieux</c:v>
                </c:pt>
                <c:pt idx="2">
                  <c:v>Très ambitieux</c:v>
                </c:pt>
                <c:pt idx="3">
                  <c:v>Total</c:v>
                </c:pt>
              </c:strCache>
            </c:strRef>
          </c:cat>
          <c:val>
            <c:numRef>
              <c:f>'Paramètres et Résultats'!$X$119:$X$122</c:f>
              <c:numCache>
                <c:formatCode>#\ ##0" tCO2eq"</c:formatCode>
                <c:ptCount val="4"/>
                <c:pt idx="0">
                  <c:v>326.64999999999998</c:v>
                </c:pt>
                <c:pt idx="1">
                  <c:v>231.65</c:v>
                </c:pt>
                <c:pt idx="2">
                  <c:v>49.224000000000004</c:v>
                </c:pt>
                <c:pt idx="3">
                  <c:v>618.79899999999998</c:v>
                </c:pt>
              </c:numCache>
            </c:numRef>
          </c:val>
          <c:extLst>
            <c:ext xmlns:c16="http://schemas.microsoft.com/office/drawing/2014/chart" uri="{C3380CC4-5D6E-409C-BE32-E72D297353CC}">
              <c16:uniqueId val="{00000006-58DF-4221-8387-5B7E175C7D4A}"/>
            </c:ext>
          </c:extLst>
        </c:ser>
        <c:dLbls>
          <c:showLegendKey val="0"/>
          <c:showVal val="0"/>
          <c:showCatName val="0"/>
          <c:showSerName val="0"/>
          <c:showPercent val="0"/>
          <c:showBubbleSize val="0"/>
        </c:dLbls>
        <c:gapWidth val="75"/>
        <c:axId val="173453312"/>
        <c:axId val="183940736"/>
      </c:barChart>
      <c:catAx>
        <c:axId val="173453312"/>
        <c:scaling>
          <c:orientation val="minMax"/>
        </c:scaling>
        <c:delete val="0"/>
        <c:axPos val="b"/>
        <c:numFmt formatCode="General" sourceLinked="0"/>
        <c:majorTickMark val="out"/>
        <c:minorTickMark val="none"/>
        <c:tickLblPos val="nextTo"/>
        <c:crossAx val="183940736"/>
        <c:crosses val="autoZero"/>
        <c:auto val="1"/>
        <c:lblAlgn val="ctr"/>
        <c:lblOffset val="100"/>
        <c:noMultiLvlLbl val="0"/>
      </c:catAx>
      <c:valAx>
        <c:axId val="183940736"/>
        <c:scaling>
          <c:orientation val="minMax"/>
        </c:scaling>
        <c:delete val="1"/>
        <c:axPos val="l"/>
        <c:numFmt formatCode="#\ ##0&quot; tCO2eq&quot;" sourceLinked="1"/>
        <c:majorTickMark val="out"/>
        <c:minorTickMark val="none"/>
        <c:tickLblPos val="nextTo"/>
        <c:crossAx val="173453312"/>
        <c:crosses val="autoZero"/>
        <c:crossBetween val="between"/>
      </c:valAx>
    </c:plotArea>
    <c:legend>
      <c:legendPos val="b"/>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'Scénarios prix énergie'!$C$200</c:f>
          <c:strCache>
            <c:ptCount val="1"/>
            <c:pt idx="0">
              <c:v>Fioul domestique - €/MWh PCI</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0"/>
          <c:order val="0"/>
          <c:tx>
            <c:strRef>
              <c:f>'Scénarios prix énergie'!$E$200</c:f>
              <c:strCache>
                <c:ptCount val="1"/>
                <c:pt idx="0">
                  <c:v>Série historique</c:v>
                </c:pt>
              </c:strCache>
            </c:strRef>
          </c:tx>
          <c:spPr>
            <a:ln w="25400" cap="rnd">
              <a:solidFill>
                <a:schemeClr val="accent1"/>
              </a:solidFill>
              <a:prstDash val="sysDash"/>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énergie'!$G$200:$AK$200</c:f>
              <c:numCache>
                <c:formatCode>#\ ##0\ "€"</c:formatCode>
                <c:ptCount val="31"/>
                <c:pt idx="0">
                  <c:v>#N/A</c:v>
                </c:pt>
                <c:pt idx="1">
                  <c:v>#N/A</c:v>
                </c:pt>
                <c:pt idx="2">
                  <c:v>#N/A</c:v>
                </c:pt>
                <c:pt idx="3">
                  <c:v>#N/A</c:v>
                </c:pt>
                <c:pt idx="4">
                  <c:v>37.583333333333329</c:v>
                </c:pt>
                <c:pt idx="5">
                  <c:v>49.083333333333336</c:v>
                </c:pt>
                <c:pt idx="6">
                  <c:v>54.25</c:v>
                </c:pt>
                <c:pt idx="7">
                  <c:v>54.416666666666664</c:v>
                </c:pt>
                <c:pt idx="8">
                  <c:v>69.666666666666671</c:v>
                </c:pt>
                <c:pt idx="9">
                  <c:v>48.083333333333329</c:v>
                </c:pt>
                <c:pt idx="10">
                  <c:v>59.833333333333336</c:v>
                </c:pt>
                <c:pt idx="11">
                  <c:v>74.166666666666671</c:v>
                </c:pt>
                <c:pt idx="12">
                  <c:v>81</c:v>
                </c:pt>
                <c:pt idx="13">
                  <c:v>77.5</c:v>
                </c:pt>
                <c:pt idx="14">
                  <c:v>71.833333333333329</c:v>
                </c:pt>
                <c:pt idx="15">
                  <c:v>59.26819444444444</c:v>
                </c:pt>
                <c:pt idx="16">
                  <c:v>47.300000000000004</c:v>
                </c:pt>
              </c:numCache>
            </c:numRef>
          </c:val>
          <c:smooth val="0"/>
          <c:extLst>
            <c:ext xmlns:c16="http://schemas.microsoft.com/office/drawing/2014/chart" uri="{C3380CC4-5D6E-409C-BE32-E72D297353CC}">
              <c16:uniqueId val="{00000000-6A29-42CD-9580-C284BE356E51}"/>
            </c:ext>
          </c:extLst>
        </c:ser>
        <c:ser>
          <c:idx val="1"/>
          <c:order val="1"/>
          <c:tx>
            <c:strRef>
              <c:f>'Scénarios prix énergie'!$E$201</c:f>
              <c:strCache>
                <c:ptCount val="1"/>
                <c:pt idx="0">
                  <c:v>Scénario référence</c:v>
                </c:pt>
              </c:strCache>
            </c:strRef>
          </c:tx>
          <c:spPr>
            <a:ln w="28575" cap="rnd">
              <a:solidFill>
                <a:schemeClr val="accent2"/>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énergie'!$G$201:$AK$201</c:f>
              <c:numCache>
                <c:formatCode>General</c:formatCode>
                <c:ptCount val="31"/>
                <c:pt idx="16" formatCode="#\ ##0\ &quot;€&quot;">
                  <c:v>47.300000000000004</c:v>
                </c:pt>
                <c:pt idx="17" formatCode="#\ ##0\ &quot;€&quot;">
                  <c:v>53.991483035500409</c:v>
                </c:pt>
                <c:pt idx="18" formatCode="#\ ##0\ &quot;€&quot;">
                  <c:v>61.062139575492282</c:v>
                </c:pt>
                <c:pt idx="19" formatCode="#\ ##0\ &quot;€&quot;">
                  <c:v>69.536369886853933</c:v>
                </c:pt>
                <c:pt idx="20" formatCode="#\ ##0\ &quot;€&quot;">
                  <c:v>79.694502896772249</c:v>
                </c:pt>
                <c:pt idx="21" formatCode="#\ ##0\ &quot;€&quot;">
                  <c:v>82.23049789211332</c:v>
                </c:pt>
                <c:pt idx="22" formatCode="#\ ##0\ &quot;€&quot;">
                  <c:v>84.87793500670044</c:v>
                </c:pt>
                <c:pt idx="23" formatCode="#\ ##0\ &quot;€&quot;">
                  <c:v>87.642063182458187</c:v>
                </c:pt>
                <c:pt idx="24" formatCode="#\ ##0\ &quot;€&quot;">
                  <c:v>90.528395376393334</c:v>
                </c:pt>
                <c:pt idx="25" formatCode="#\ ##0\ &quot;€&quot;">
                  <c:v>93.54272258794208</c:v>
                </c:pt>
                <c:pt idx="26" formatCode="#\ ##0\ &quot;€&quot;">
                  <c:v>96.691128662785459</c:v>
                </c:pt>
                <c:pt idx="27" formatCode="#\ ##0\ &quot;€&quot;">
                  <c:v>99.98000591734511</c:v>
                </c:pt>
                <c:pt idx="28" formatCode="#\ ##0\ &quot;€&quot;">
                  <c:v>103.41607163073444</c:v>
                </c:pt>
                <c:pt idx="29" formatCode="#\ ##0\ &quot;€&quot;">
                  <c:v>107.00638545365609</c:v>
                </c:pt>
                <c:pt idx="30" formatCode="#\ ##0\ &quot;€&quot;">
                  <c:v>110.75836778660936</c:v>
                </c:pt>
              </c:numCache>
            </c:numRef>
          </c:val>
          <c:smooth val="0"/>
          <c:extLst>
            <c:ext xmlns:c16="http://schemas.microsoft.com/office/drawing/2014/chart" uri="{C3380CC4-5D6E-409C-BE32-E72D297353CC}">
              <c16:uniqueId val="{00000001-6A29-42CD-9580-C284BE356E51}"/>
            </c:ext>
          </c:extLst>
        </c:ser>
        <c:ser>
          <c:idx val="2"/>
          <c:order val="2"/>
          <c:tx>
            <c:strRef>
              <c:f>'Scénarios prix énergie'!$E$202</c:f>
              <c:strCache>
                <c:ptCount val="1"/>
                <c:pt idx="0">
                  <c:v>Scénario constant</c:v>
                </c:pt>
              </c:strCache>
            </c:strRef>
          </c:tx>
          <c:spPr>
            <a:ln w="28575" cap="rnd">
              <a:solidFill>
                <a:schemeClr val="accent3"/>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énergie'!$G$202:$AK$202</c:f>
              <c:numCache>
                <c:formatCode>General</c:formatCode>
                <c:ptCount val="31"/>
                <c:pt idx="16" formatCode="#\ ##0\ &quot;€&quot;">
                  <c:v>47.300000000000004</c:v>
                </c:pt>
                <c:pt idx="17" formatCode="#\ ##0\ &quot;€&quot;">
                  <c:v>47.300000000000004</c:v>
                </c:pt>
                <c:pt idx="18" formatCode="#\ ##0\ &quot;€&quot;">
                  <c:v>47.300000000000004</c:v>
                </c:pt>
                <c:pt idx="19" formatCode="#\ ##0\ &quot;€&quot;">
                  <c:v>47.300000000000004</c:v>
                </c:pt>
                <c:pt idx="20" formatCode="#\ ##0\ &quot;€&quot;">
                  <c:v>47.300000000000004</c:v>
                </c:pt>
                <c:pt idx="21" formatCode="#\ ##0\ &quot;€&quot;">
                  <c:v>47.300000000000004</c:v>
                </c:pt>
                <c:pt idx="22" formatCode="#\ ##0\ &quot;€&quot;">
                  <c:v>47.300000000000004</c:v>
                </c:pt>
                <c:pt idx="23" formatCode="#\ ##0\ &quot;€&quot;">
                  <c:v>47.300000000000004</c:v>
                </c:pt>
                <c:pt idx="24" formatCode="#\ ##0\ &quot;€&quot;">
                  <c:v>47.300000000000004</c:v>
                </c:pt>
                <c:pt idx="25" formatCode="#\ ##0\ &quot;€&quot;">
                  <c:v>47.300000000000004</c:v>
                </c:pt>
                <c:pt idx="26" formatCode="#\ ##0\ &quot;€&quot;">
                  <c:v>47.300000000000004</c:v>
                </c:pt>
                <c:pt idx="27" formatCode="#\ ##0\ &quot;€&quot;">
                  <c:v>47.300000000000004</c:v>
                </c:pt>
                <c:pt idx="28" formatCode="#\ ##0\ &quot;€&quot;">
                  <c:v>47.300000000000004</c:v>
                </c:pt>
                <c:pt idx="29" formatCode="#\ ##0\ &quot;€&quot;">
                  <c:v>47.300000000000004</c:v>
                </c:pt>
                <c:pt idx="30" formatCode="#\ ##0\ &quot;€&quot;">
                  <c:v>47.300000000000004</c:v>
                </c:pt>
              </c:numCache>
            </c:numRef>
          </c:val>
          <c:smooth val="0"/>
          <c:extLst>
            <c:ext xmlns:c16="http://schemas.microsoft.com/office/drawing/2014/chart" uri="{C3380CC4-5D6E-409C-BE32-E72D297353CC}">
              <c16:uniqueId val="{00000002-6A29-42CD-9580-C284BE356E51}"/>
            </c:ext>
          </c:extLst>
        </c:ser>
        <c:ser>
          <c:idx val="3"/>
          <c:order val="3"/>
          <c:tx>
            <c:strRef>
              <c:f>'Scénarios prix énergie'!$E$203</c:f>
              <c:strCache>
                <c:ptCount val="1"/>
                <c:pt idx="0">
                  <c:v>Scénario personnalisé</c:v>
                </c:pt>
              </c:strCache>
            </c:strRef>
          </c:tx>
          <c:spPr>
            <a:ln w="28575" cap="rnd">
              <a:solidFill>
                <a:schemeClr val="accent4"/>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énergie'!$G$203:$AK$203</c:f>
              <c:numCache>
                <c:formatCode>General</c:formatCode>
                <c:ptCount val="31"/>
                <c:pt idx="16" formatCode="#\ ##0\ &quot;€&quot;">
                  <c:v>47.300000000000004</c:v>
                </c:pt>
                <c:pt idx="17" formatCode="#\ ##0\ &quot;€&quot;">
                  <c:v>49.665000000000006</c:v>
                </c:pt>
                <c:pt idx="18" formatCode="#\ ##0\ &quot;€&quot;">
                  <c:v>52.148250000000012</c:v>
                </c:pt>
                <c:pt idx="19" formatCode="#\ ##0\ &quot;€&quot;">
                  <c:v>54.755662500000014</c:v>
                </c:pt>
                <c:pt idx="20" formatCode="#\ ##0\ &quot;€&quot;">
                  <c:v>57.493445625000014</c:v>
                </c:pt>
                <c:pt idx="21" formatCode="#\ ##0\ &quot;€&quot;">
                  <c:v>60.368117906250021</c:v>
                </c:pt>
                <c:pt idx="22" formatCode="#\ ##0\ &quot;€&quot;">
                  <c:v>63.386523801562525</c:v>
                </c:pt>
                <c:pt idx="23" formatCode="#\ ##0\ &quot;€&quot;">
                  <c:v>66.555849991640656</c:v>
                </c:pt>
                <c:pt idx="24" formatCode="#\ ##0\ &quot;€&quot;">
                  <c:v>69.883642491222687</c:v>
                </c:pt>
                <c:pt idx="25" formatCode="#\ ##0\ &quot;€&quot;">
                  <c:v>73.377824615783823</c:v>
                </c:pt>
                <c:pt idx="26" formatCode="#\ ##0\ &quot;€&quot;">
                  <c:v>77.046715846573022</c:v>
                </c:pt>
                <c:pt idx="27" formatCode="#\ ##0\ &quot;€&quot;">
                  <c:v>80.899051638901682</c:v>
                </c:pt>
                <c:pt idx="28" formatCode="#\ ##0\ &quot;€&quot;">
                  <c:v>84.944004220846764</c:v>
                </c:pt>
                <c:pt idx="29" formatCode="#\ ##0\ &quot;€&quot;">
                  <c:v>89.191204431889105</c:v>
                </c:pt>
                <c:pt idx="30" formatCode="#\ ##0\ &quot;€&quot;">
                  <c:v>93.650764653483563</c:v>
                </c:pt>
              </c:numCache>
            </c:numRef>
          </c:val>
          <c:smooth val="0"/>
          <c:extLst>
            <c:ext xmlns:c16="http://schemas.microsoft.com/office/drawing/2014/chart" uri="{C3380CC4-5D6E-409C-BE32-E72D297353CC}">
              <c16:uniqueId val="{00000003-6A29-42CD-9580-C284BE356E51}"/>
            </c:ext>
          </c:extLst>
        </c:ser>
        <c:dLbls>
          <c:showLegendKey val="0"/>
          <c:showVal val="0"/>
          <c:showCatName val="0"/>
          <c:showSerName val="0"/>
          <c:showPercent val="0"/>
          <c:showBubbleSize val="0"/>
        </c:dLbls>
        <c:smooth val="0"/>
        <c:axId val="41261568"/>
        <c:axId val="191043776"/>
      </c:lineChart>
      <c:catAx>
        <c:axId val="41261568"/>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1043776"/>
        <c:crosses val="autoZero"/>
        <c:auto val="1"/>
        <c:lblAlgn val="ctr"/>
        <c:lblOffset val="100"/>
        <c:tickLblSkip val="5"/>
        <c:tickMarkSkip val="5"/>
        <c:noMultiLvlLbl val="0"/>
      </c:catAx>
      <c:valAx>
        <c:axId val="1910437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1261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'Scénarios prix énergie'!$C$210</c:f>
          <c:strCache>
            <c:ptCount val="1"/>
            <c:pt idx="0">
              <c:v>GPL - €/MWh PCI</c:v>
            </c:pt>
          </c:strCache>
        </c:strRef>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0"/>
          <c:order val="0"/>
          <c:tx>
            <c:strRef>
              <c:f>'Scénarios prix énergie'!$E$210</c:f>
              <c:strCache>
                <c:ptCount val="1"/>
                <c:pt idx="0">
                  <c:v>Série historique</c:v>
                </c:pt>
              </c:strCache>
            </c:strRef>
          </c:tx>
          <c:spPr>
            <a:ln w="25400" cap="rnd">
              <a:solidFill>
                <a:schemeClr val="accent1"/>
              </a:solidFill>
              <a:prstDash val="sysDash"/>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énergie'!$G$210:$AK$210</c:f>
              <c:numCache>
                <c:formatCode>#\ ##0.0\ "€"</c:formatCode>
                <c:ptCount val="31"/>
                <c:pt idx="0">
                  <c:v>58.721469776774526</c:v>
                </c:pt>
                <c:pt idx="1">
                  <c:v>60.08276899924757</c:v>
                </c:pt>
                <c:pt idx="2">
                  <c:v>59.593052420366192</c:v>
                </c:pt>
                <c:pt idx="3">
                  <c:v>65.791948833709554</c:v>
                </c:pt>
                <c:pt idx="4">
                  <c:v>67.662402809129674</c:v>
                </c:pt>
                <c:pt idx="5">
                  <c:v>77.25420115374969</c:v>
                </c:pt>
                <c:pt idx="6">
                  <c:v>85.719839478304493</c:v>
                </c:pt>
                <c:pt idx="7">
                  <c:v>87.114998745924268</c:v>
                </c:pt>
                <c:pt idx="8">
                  <c:v>98.355279658891405</c:v>
                </c:pt>
                <c:pt idx="9">
                  <c:v>85.617005267118145</c:v>
                </c:pt>
                <c:pt idx="10">
                  <c:v>91.265362427890651</c:v>
                </c:pt>
                <c:pt idx="11">
                  <c:v>104.73413594181089</c:v>
                </c:pt>
                <c:pt idx="12">
                  <c:v>112.30812641083523</c:v>
                </c:pt>
                <c:pt idx="13">
                  <c:v>114.26511161274141</c:v>
                </c:pt>
                <c:pt idx="14">
                  <c:v>106.93585663824096</c:v>
                </c:pt>
                <c:pt idx="15">
                  <c:v>99.992441580971501</c:v>
                </c:pt>
                <c:pt idx="16">
                  <c:v>95.311626666875682</c:v>
                </c:pt>
              </c:numCache>
            </c:numRef>
          </c:val>
          <c:smooth val="0"/>
          <c:extLst>
            <c:ext xmlns:c16="http://schemas.microsoft.com/office/drawing/2014/chart" uri="{C3380CC4-5D6E-409C-BE32-E72D297353CC}">
              <c16:uniqueId val="{00000000-1A3D-41CC-903D-55C669DD8419}"/>
            </c:ext>
          </c:extLst>
        </c:ser>
        <c:ser>
          <c:idx val="1"/>
          <c:order val="1"/>
          <c:tx>
            <c:strRef>
              <c:f>'Scénarios prix énergie'!$E$211</c:f>
              <c:strCache>
                <c:ptCount val="1"/>
                <c:pt idx="0">
                  <c:v>Scénario référence</c:v>
                </c:pt>
              </c:strCache>
            </c:strRef>
          </c:tx>
          <c:spPr>
            <a:ln w="28575" cap="rnd">
              <a:solidFill>
                <a:schemeClr val="accent2"/>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énergie'!$G$211:$AK$211</c:f>
              <c:numCache>
                <c:formatCode>General</c:formatCode>
                <c:ptCount val="31"/>
                <c:pt idx="16" formatCode="#\ ##0\ &quot;€&quot;">
                  <c:v>95.311626666875682</c:v>
                </c:pt>
                <c:pt idx="17" formatCode="#\ ##0\ &quot;€&quot;">
                  <c:v>103.17529464616072</c:v>
                </c:pt>
                <c:pt idx="18" formatCode="#\ ##0\ &quot;€&quot;">
                  <c:v>109.22235215130522</c:v>
                </c:pt>
                <c:pt idx="19" formatCode="#\ ##0\ &quot;€&quot;">
                  <c:v>116.46581133052293</c:v>
                </c:pt>
                <c:pt idx="20" formatCode="#\ ##0\ &quot;€&quot;">
                  <c:v>125.14377180381695</c:v>
                </c:pt>
                <c:pt idx="21" formatCode="#\ ##0\ &quot;€&quot;">
                  <c:v>127.29280963984768</c:v>
                </c:pt>
                <c:pt idx="22" formatCode="#\ ##0\ &quot;€&quot;">
                  <c:v>129.53510794656634</c:v>
                </c:pt>
                <c:pt idx="23" formatCode="#\ ##0\ &quot;€&quot;">
                  <c:v>131.87500311607388</c:v>
                </c:pt>
                <c:pt idx="24" formatCode="#\ ##0\ &quot;€&quot;">
                  <c:v>134.31704715290377</c:v>
                </c:pt>
                <c:pt idx="25" formatCode="#\ ##0\ &quot;€&quot;">
                  <c:v>136.86601902532766</c:v>
                </c:pt>
                <c:pt idx="26" formatCode="#\ ##0\ &quot;€&quot;">
                  <c:v>139.52693664087928</c:v>
                </c:pt>
                <c:pt idx="27" formatCode="#\ ##0\ &quot;€&quot;">
                  <c:v>142.30506948148337</c:v>
                </c:pt>
                <c:pt idx="28" formatCode="#\ ##0\ &quot;€&quot;">
                  <c:v>145.20595193562272</c:v>
                </c:pt>
                <c:pt idx="29" formatCode="#\ ##0\ &quot;€&quot;">
                  <c:v>148.23539736714221</c:v>
                </c:pt>
                <c:pt idx="30" formatCode="#\ ##0\ &quot;€&quot;">
                  <c:v>151.39951296258292</c:v>
                </c:pt>
              </c:numCache>
            </c:numRef>
          </c:val>
          <c:smooth val="0"/>
          <c:extLst>
            <c:ext xmlns:c16="http://schemas.microsoft.com/office/drawing/2014/chart" uri="{C3380CC4-5D6E-409C-BE32-E72D297353CC}">
              <c16:uniqueId val="{00000001-1A3D-41CC-903D-55C669DD8419}"/>
            </c:ext>
          </c:extLst>
        </c:ser>
        <c:ser>
          <c:idx val="2"/>
          <c:order val="2"/>
          <c:tx>
            <c:strRef>
              <c:f>'Scénarios prix énergie'!$E$212</c:f>
              <c:strCache>
                <c:ptCount val="1"/>
                <c:pt idx="0">
                  <c:v>Scénario constant</c:v>
                </c:pt>
              </c:strCache>
            </c:strRef>
          </c:tx>
          <c:spPr>
            <a:ln w="28575" cap="rnd">
              <a:solidFill>
                <a:schemeClr val="accent3"/>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énergie'!$G$212:$AK$212</c:f>
              <c:numCache>
                <c:formatCode>General</c:formatCode>
                <c:ptCount val="31"/>
                <c:pt idx="16" formatCode="#\ ##0\ &quot;€&quot;">
                  <c:v>95.311626666875682</c:v>
                </c:pt>
                <c:pt idx="17" formatCode="#\ ##0\ &quot;€&quot;">
                  <c:v>95.311626666875682</c:v>
                </c:pt>
                <c:pt idx="18" formatCode="#\ ##0\ &quot;€&quot;">
                  <c:v>95.311626666875682</c:v>
                </c:pt>
                <c:pt idx="19" formatCode="#\ ##0\ &quot;€&quot;">
                  <c:v>95.311626666875682</c:v>
                </c:pt>
                <c:pt idx="20" formatCode="#\ ##0\ &quot;€&quot;">
                  <c:v>95.311626666875682</c:v>
                </c:pt>
                <c:pt idx="21" formatCode="#\ ##0\ &quot;€&quot;">
                  <c:v>95.311626666875682</c:v>
                </c:pt>
                <c:pt idx="22" formatCode="#\ ##0\ &quot;€&quot;">
                  <c:v>95.311626666875682</c:v>
                </c:pt>
                <c:pt idx="23" formatCode="#\ ##0\ &quot;€&quot;">
                  <c:v>95.311626666875682</c:v>
                </c:pt>
                <c:pt idx="24" formatCode="#\ ##0\ &quot;€&quot;">
                  <c:v>95.311626666875682</c:v>
                </c:pt>
                <c:pt idx="25" formatCode="#\ ##0\ &quot;€&quot;">
                  <c:v>95.311626666875682</c:v>
                </c:pt>
                <c:pt idx="26" formatCode="#\ ##0\ &quot;€&quot;">
                  <c:v>95.311626666875682</c:v>
                </c:pt>
                <c:pt idx="27" formatCode="#\ ##0\ &quot;€&quot;">
                  <c:v>95.311626666875682</c:v>
                </c:pt>
                <c:pt idx="28" formatCode="#\ ##0\ &quot;€&quot;">
                  <c:v>95.311626666875682</c:v>
                </c:pt>
                <c:pt idx="29" formatCode="#\ ##0\ &quot;€&quot;">
                  <c:v>95.311626666875682</c:v>
                </c:pt>
                <c:pt idx="30" formatCode="#\ ##0\ &quot;€&quot;">
                  <c:v>95.311626666875682</c:v>
                </c:pt>
              </c:numCache>
            </c:numRef>
          </c:val>
          <c:smooth val="0"/>
          <c:extLst>
            <c:ext xmlns:c16="http://schemas.microsoft.com/office/drawing/2014/chart" uri="{C3380CC4-5D6E-409C-BE32-E72D297353CC}">
              <c16:uniqueId val="{00000002-1A3D-41CC-903D-55C669DD8419}"/>
            </c:ext>
          </c:extLst>
        </c:ser>
        <c:ser>
          <c:idx val="3"/>
          <c:order val="3"/>
          <c:tx>
            <c:strRef>
              <c:f>'Scénarios prix énergie'!$E$213</c:f>
              <c:strCache>
                <c:ptCount val="1"/>
                <c:pt idx="0">
                  <c:v>Scénario personnalisé</c:v>
                </c:pt>
              </c:strCache>
            </c:strRef>
          </c:tx>
          <c:spPr>
            <a:ln w="28575" cap="rnd">
              <a:solidFill>
                <a:schemeClr val="accent4"/>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énergie'!$G$213:$AK$213</c:f>
              <c:numCache>
                <c:formatCode>General</c:formatCode>
                <c:ptCount val="31"/>
                <c:pt idx="16" formatCode="#\ ##0\ &quot;€&quot;">
                  <c:v>95.311626666875682</c:v>
                </c:pt>
                <c:pt idx="17" formatCode="#\ ##0\ &quot;€&quot;">
                  <c:v>100.07720800021947</c:v>
                </c:pt>
                <c:pt idx="18" formatCode="#\ ##0\ &quot;€&quot;">
                  <c:v>105.08106840023045</c:v>
                </c:pt>
                <c:pt idx="19" formatCode="#\ ##0\ &quot;€&quot;">
                  <c:v>110.33512182024198</c:v>
                </c:pt>
                <c:pt idx="20" formatCode="#\ ##0\ &quot;€&quot;">
                  <c:v>115.85187791125408</c:v>
                </c:pt>
                <c:pt idx="21" formatCode="#\ ##0\ &quot;€&quot;">
                  <c:v>121.64447180681678</c:v>
                </c:pt>
                <c:pt idx="22" formatCode="#\ ##0\ &quot;€&quot;">
                  <c:v>127.72669539715763</c:v>
                </c:pt>
                <c:pt idx="23" formatCode="#\ ##0\ &quot;€&quot;">
                  <c:v>134.11303016701552</c:v>
                </c:pt>
                <c:pt idx="24" formatCode="#\ ##0\ &quot;€&quot;">
                  <c:v>140.81868167536629</c:v>
                </c:pt>
                <c:pt idx="25" formatCode="#\ ##0\ &quot;€&quot;">
                  <c:v>147.85961575913461</c:v>
                </c:pt>
                <c:pt idx="26" formatCode="#\ ##0\ &quot;€&quot;">
                  <c:v>155.25259654709134</c:v>
                </c:pt>
                <c:pt idx="27" formatCode="#\ ##0\ &quot;€&quot;">
                  <c:v>163.01522637444592</c:v>
                </c:pt>
                <c:pt idx="28" formatCode="#\ ##0\ &quot;€&quot;">
                  <c:v>171.16598769316823</c:v>
                </c:pt>
                <c:pt idx="29" formatCode="#\ ##0\ &quot;€&quot;">
                  <c:v>179.72428707782666</c:v>
                </c:pt>
                <c:pt idx="30" formatCode="#\ ##0\ &quot;€&quot;">
                  <c:v>188.710501431718</c:v>
                </c:pt>
              </c:numCache>
            </c:numRef>
          </c:val>
          <c:smooth val="0"/>
          <c:extLst>
            <c:ext xmlns:c16="http://schemas.microsoft.com/office/drawing/2014/chart" uri="{C3380CC4-5D6E-409C-BE32-E72D297353CC}">
              <c16:uniqueId val="{00000003-1A3D-41CC-903D-55C669DD8419}"/>
            </c:ext>
          </c:extLst>
        </c:ser>
        <c:dLbls>
          <c:showLegendKey val="0"/>
          <c:showVal val="0"/>
          <c:showCatName val="0"/>
          <c:showSerName val="0"/>
          <c:showPercent val="0"/>
          <c:showBubbleSize val="0"/>
        </c:dLbls>
        <c:smooth val="0"/>
        <c:axId val="41275392"/>
        <c:axId val="191046208"/>
      </c:lineChart>
      <c:catAx>
        <c:axId val="4127539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1046208"/>
        <c:crosses val="autoZero"/>
        <c:auto val="1"/>
        <c:lblAlgn val="ctr"/>
        <c:lblOffset val="100"/>
        <c:tickLblSkip val="5"/>
        <c:tickMarkSkip val="5"/>
        <c:noMultiLvlLbl val="0"/>
      </c:catAx>
      <c:valAx>
        <c:axId val="191046208"/>
        <c:scaling>
          <c:orientation val="minMax"/>
        </c:scaling>
        <c:delete val="0"/>
        <c:axPos val="l"/>
        <c:majorGridlines>
          <c:spPr>
            <a:ln w="9525" cap="flat" cmpd="sng" algn="ctr">
              <a:solidFill>
                <a:schemeClr val="tx1">
                  <a:lumMod val="15000"/>
                  <a:lumOff val="85000"/>
                </a:schemeClr>
              </a:solidFill>
              <a:round/>
            </a:ln>
            <a:effectLst/>
          </c:spPr>
        </c:majorGridlines>
        <c:numFmt formatCode="#\ ##0.0\ &quot;€&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1275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'Scénarios prix énergie'!$C$205</c:f>
          <c:strCache>
            <c:ptCount val="1"/>
            <c:pt idx="0">
              <c:v>Gaz - €/MWh PCI</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0"/>
          <c:order val="0"/>
          <c:tx>
            <c:strRef>
              <c:f>'Scénarios prix énergie'!$E$205</c:f>
              <c:strCache>
                <c:ptCount val="1"/>
                <c:pt idx="0">
                  <c:v>Série historique</c:v>
                </c:pt>
              </c:strCache>
            </c:strRef>
          </c:tx>
          <c:spPr>
            <a:ln w="25400" cap="rnd">
              <a:solidFill>
                <a:schemeClr val="accent1"/>
              </a:solidFill>
              <a:prstDash val="sysDash"/>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énergie'!$G$205:$AK$205</c:f>
              <c:numCache>
                <c:formatCode>#\ ##0.0\ "€"</c:formatCode>
                <c:ptCount val="31"/>
                <c:pt idx="0">
                  <c:v>19.185665146788256</c:v>
                </c:pt>
                <c:pt idx="1">
                  <c:v>23.3257339412847</c:v>
                </c:pt>
                <c:pt idx="2">
                  <c:v>20.838332933365329</c:v>
                </c:pt>
                <c:pt idx="3">
                  <c:v>22.238220942324613</c:v>
                </c:pt>
                <c:pt idx="4">
                  <c:v>22.038236941044715</c:v>
                </c:pt>
                <c:pt idx="5">
                  <c:v>26.657867370610351</c:v>
                </c:pt>
                <c:pt idx="6">
                  <c:v>33.417326613870891</c:v>
                </c:pt>
                <c:pt idx="7">
                  <c:v>31.317494600431964</c:v>
                </c:pt>
                <c:pt idx="8">
                  <c:v>40.166666666666664</c:v>
                </c:pt>
                <c:pt idx="9">
                  <c:v>37.611111111111114</c:v>
                </c:pt>
                <c:pt idx="10">
                  <c:v>37.777777777777779</c:v>
                </c:pt>
                <c:pt idx="11">
                  <c:v>41.277777777777786</c:v>
                </c:pt>
                <c:pt idx="12">
                  <c:v>43.999999999999993</c:v>
                </c:pt>
                <c:pt idx="13">
                  <c:v>44.222222222222229</c:v>
                </c:pt>
                <c:pt idx="14">
                  <c:v>42.55555555555555</c:v>
                </c:pt>
                <c:pt idx="15">
                  <c:v>41.388888888888886</c:v>
                </c:pt>
                <c:pt idx="16">
                  <c:v>40.888888888888886</c:v>
                </c:pt>
              </c:numCache>
            </c:numRef>
          </c:val>
          <c:smooth val="0"/>
          <c:extLst>
            <c:ext xmlns:c16="http://schemas.microsoft.com/office/drawing/2014/chart" uri="{C3380CC4-5D6E-409C-BE32-E72D297353CC}">
              <c16:uniqueId val="{00000000-58F5-4AAA-8E30-9F0E6B5BE27E}"/>
            </c:ext>
          </c:extLst>
        </c:ser>
        <c:ser>
          <c:idx val="1"/>
          <c:order val="1"/>
          <c:tx>
            <c:strRef>
              <c:f>'Scénarios prix énergie'!$E$206</c:f>
              <c:strCache>
                <c:ptCount val="1"/>
                <c:pt idx="0">
                  <c:v>Scénario référence</c:v>
                </c:pt>
              </c:strCache>
            </c:strRef>
          </c:tx>
          <c:spPr>
            <a:ln w="28575" cap="rnd">
              <a:solidFill>
                <a:schemeClr val="accent2"/>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énergie'!$G$206:$AK$206</c:f>
              <c:numCache>
                <c:formatCode>General</c:formatCode>
                <c:ptCount val="31"/>
                <c:pt idx="16" formatCode="#\ ##0.0\ &quot;€&quot;">
                  <c:v>40.888888888888886</c:v>
                </c:pt>
                <c:pt idx="17" formatCode="#\ ##0\ &quot;€&quot;">
                  <c:v>42.567536630775031</c:v>
                </c:pt>
                <c:pt idx="18" formatCode="#\ ##0\ &quot;€&quot;">
                  <c:v>44.80756285048534</c:v>
                </c:pt>
                <c:pt idx="19" formatCode="#\ ##0\ &quot;€&quot;">
                  <c:v>47.414921496428143</c:v>
                </c:pt>
                <c:pt idx="20" formatCode="#\ ##0\ &quot;€&quot;">
                  <c:v>50.468364859683277</c:v>
                </c:pt>
                <c:pt idx="21" formatCode="#\ ##0\ &quot;€&quot;">
                  <c:v>52.228416235318825</c:v>
                </c:pt>
                <c:pt idx="22" formatCode="#\ ##0\ &quot;€&quot;">
                  <c:v>54.070628019679681</c:v>
                </c:pt>
                <c:pt idx="23" formatCode="#\ ##0\ &quot;€&quot;">
                  <c:v>55.999060907003766</c:v>
                </c:pt>
                <c:pt idx="24" formatCode="#\ ##0\ &quot;€&quot;">
                  <c:v>58.017986906031872</c:v>
                </c:pt>
                <c:pt idx="25" formatCode="#\ ##0\ &quot;€&quot;">
                  <c:v>60.131900809124019</c:v>
                </c:pt>
                <c:pt idx="26" formatCode="#\ ##0\ &quot;€&quot;">
                  <c:v>62.345532303832904</c:v>
                </c:pt>
                <c:pt idx="27" formatCode="#\ ##0\ &quot;€&quot;">
                  <c:v>64.663858763731653</c:v>
                </c:pt>
                <c:pt idx="28" formatCode="#\ ##0\ &quot;€&quot;">
                  <c:v>67.092118757432587</c:v>
                </c:pt>
                <c:pt idx="29" formatCode="#\ ##0\ &quot;€&quot;">
                  <c:v>69.635826316998475</c:v>
                </c:pt>
                <c:pt idx="30" formatCode="#\ ##0\ &quot;€&quot;">
                  <c:v>72.300786009345799</c:v>
                </c:pt>
              </c:numCache>
            </c:numRef>
          </c:val>
          <c:smooth val="0"/>
          <c:extLst>
            <c:ext xmlns:c16="http://schemas.microsoft.com/office/drawing/2014/chart" uri="{C3380CC4-5D6E-409C-BE32-E72D297353CC}">
              <c16:uniqueId val="{00000001-58F5-4AAA-8E30-9F0E6B5BE27E}"/>
            </c:ext>
          </c:extLst>
        </c:ser>
        <c:ser>
          <c:idx val="2"/>
          <c:order val="2"/>
          <c:tx>
            <c:strRef>
              <c:f>'Scénarios prix énergie'!$E$207</c:f>
              <c:strCache>
                <c:ptCount val="1"/>
                <c:pt idx="0">
                  <c:v>Scénario constant</c:v>
                </c:pt>
              </c:strCache>
            </c:strRef>
          </c:tx>
          <c:spPr>
            <a:ln w="28575" cap="rnd">
              <a:solidFill>
                <a:schemeClr val="accent3"/>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énergie'!$G$207:$AK$207</c:f>
              <c:numCache>
                <c:formatCode>General</c:formatCode>
                <c:ptCount val="31"/>
                <c:pt idx="16" formatCode="#\ ##0.0\ &quot;€&quot;">
                  <c:v>40.888888888888886</c:v>
                </c:pt>
                <c:pt idx="17" formatCode="#\ ##0\ &quot;€&quot;">
                  <c:v>40.888888888888886</c:v>
                </c:pt>
                <c:pt idx="18" formatCode="#\ ##0\ &quot;€&quot;">
                  <c:v>40.888888888888886</c:v>
                </c:pt>
                <c:pt idx="19" formatCode="#\ ##0\ &quot;€&quot;">
                  <c:v>40.888888888888886</c:v>
                </c:pt>
                <c:pt idx="20" formatCode="#\ ##0\ &quot;€&quot;">
                  <c:v>40.888888888888886</c:v>
                </c:pt>
                <c:pt idx="21" formatCode="#\ ##0\ &quot;€&quot;">
                  <c:v>40.888888888888886</c:v>
                </c:pt>
                <c:pt idx="22" formatCode="#\ ##0\ &quot;€&quot;">
                  <c:v>40.888888888888886</c:v>
                </c:pt>
                <c:pt idx="23" formatCode="#\ ##0\ &quot;€&quot;">
                  <c:v>40.888888888888886</c:v>
                </c:pt>
                <c:pt idx="24" formatCode="#\ ##0\ &quot;€&quot;">
                  <c:v>40.888888888888886</c:v>
                </c:pt>
                <c:pt idx="25" formatCode="#\ ##0\ &quot;€&quot;">
                  <c:v>40.888888888888886</c:v>
                </c:pt>
                <c:pt idx="26" formatCode="#\ ##0\ &quot;€&quot;">
                  <c:v>40.888888888888886</c:v>
                </c:pt>
                <c:pt idx="27" formatCode="#\ ##0\ &quot;€&quot;">
                  <c:v>40.888888888888886</c:v>
                </c:pt>
                <c:pt idx="28" formatCode="#\ ##0\ &quot;€&quot;">
                  <c:v>40.888888888888886</c:v>
                </c:pt>
                <c:pt idx="29" formatCode="#\ ##0\ &quot;€&quot;">
                  <c:v>40.888888888888886</c:v>
                </c:pt>
                <c:pt idx="30" formatCode="#\ ##0\ &quot;€&quot;">
                  <c:v>40.888888888888886</c:v>
                </c:pt>
              </c:numCache>
            </c:numRef>
          </c:val>
          <c:smooth val="0"/>
          <c:extLst>
            <c:ext xmlns:c16="http://schemas.microsoft.com/office/drawing/2014/chart" uri="{C3380CC4-5D6E-409C-BE32-E72D297353CC}">
              <c16:uniqueId val="{00000002-58F5-4AAA-8E30-9F0E6B5BE27E}"/>
            </c:ext>
          </c:extLst>
        </c:ser>
        <c:ser>
          <c:idx val="3"/>
          <c:order val="3"/>
          <c:tx>
            <c:strRef>
              <c:f>'Scénarios prix énergie'!$E$208</c:f>
              <c:strCache>
                <c:ptCount val="1"/>
                <c:pt idx="0">
                  <c:v>Scénario personnalisé</c:v>
                </c:pt>
              </c:strCache>
            </c:strRef>
          </c:tx>
          <c:spPr>
            <a:ln w="28575" cap="rnd">
              <a:solidFill>
                <a:schemeClr val="accent4"/>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énergie'!$G$208:$AK$208</c:f>
              <c:numCache>
                <c:formatCode>General</c:formatCode>
                <c:ptCount val="31"/>
                <c:pt idx="16" formatCode="#\ ##0.0\ &quot;€&quot;">
                  <c:v>40.888888888888886</c:v>
                </c:pt>
                <c:pt idx="17" formatCode="#\ ##0\ &quot;€&quot;">
                  <c:v>38.64</c:v>
                </c:pt>
                <c:pt idx="18" formatCode="#\ ##0\ &quot;€&quot;">
                  <c:v>40.572000000000003</c:v>
                </c:pt>
                <c:pt idx="19" formatCode="#\ ##0\ &quot;€&quot;">
                  <c:v>42.600600000000007</c:v>
                </c:pt>
                <c:pt idx="20" formatCode="#\ ##0\ &quot;€&quot;">
                  <c:v>44.730630000000005</c:v>
                </c:pt>
                <c:pt idx="21" formatCode="#\ ##0\ &quot;€&quot;">
                  <c:v>46.96716150000001</c:v>
                </c:pt>
                <c:pt idx="22" formatCode="#\ ##0\ &quot;€&quot;">
                  <c:v>49.31551957500001</c:v>
                </c:pt>
                <c:pt idx="23" formatCode="#\ ##0\ &quot;€&quot;">
                  <c:v>51.781295553750013</c:v>
                </c:pt>
                <c:pt idx="24" formatCode="#\ ##0\ &quot;€&quot;">
                  <c:v>54.370360331437517</c:v>
                </c:pt>
                <c:pt idx="25" formatCode="#\ ##0\ &quot;€&quot;">
                  <c:v>57.088878348009395</c:v>
                </c:pt>
                <c:pt idx="26" formatCode="#\ ##0\ &quot;€&quot;">
                  <c:v>59.943322265409869</c:v>
                </c:pt>
                <c:pt idx="27" formatCode="#\ ##0\ &quot;€&quot;">
                  <c:v>62.940488378680364</c:v>
                </c:pt>
                <c:pt idx="28" formatCode="#\ ##0\ &quot;€&quot;">
                  <c:v>66.087512797614394</c:v>
                </c:pt>
                <c:pt idx="29" formatCode="#\ ##0\ &quot;€&quot;">
                  <c:v>69.391888437495112</c:v>
                </c:pt>
                <c:pt idx="30" formatCode="#\ ##0\ &quot;€&quot;">
                  <c:v>72.861482859369872</c:v>
                </c:pt>
              </c:numCache>
            </c:numRef>
          </c:val>
          <c:smooth val="0"/>
          <c:extLst>
            <c:ext xmlns:c16="http://schemas.microsoft.com/office/drawing/2014/chart" uri="{C3380CC4-5D6E-409C-BE32-E72D297353CC}">
              <c16:uniqueId val="{00000003-58F5-4AAA-8E30-9F0E6B5BE27E}"/>
            </c:ext>
          </c:extLst>
        </c:ser>
        <c:dLbls>
          <c:showLegendKey val="0"/>
          <c:showVal val="0"/>
          <c:showCatName val="0"/>
          <c:showSerName val="0"/>
          <c:showPercent val="0"/>
          <c:showBubbleSize val="0"/>
        </c:dLbls>
        <c:smooth val="0"/>
        <c:axId val="41276416"/>
        <c:axId val="191049088"/>
      </c:lineChart>
      <c:catAx>
        <c:axId val="4127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1049088"/>
        <c:crosses val="autoZero"/>
        <c:auto val="1"/>
        <c:lblAlgn val="ctr"/>
        <c:lblOffset val="100"/>
        <c:noMultiLvlLbl val="0"/>
      </c:catAx>
      <c:valAx>
        <c:axId val="191049088"/>
        <c:scaling>
          <c:orientation val="minMax"/>
        </c:scaling>
        <c:delete val="0"/>
        <c:axPos val="l"/>
        <c:majorGridlines>
          <c:spPr>
            <a:ln w="9525" cap="flat" cmpd="sng" algn="ctr">
              <a:solidFill>
                <a:schemeClr val="tx1">
                  <a:lumMod val="15000"/>
                  <a:lumOff val="85000"/>
                </a:schemeClr>
              </a:solidFill>
              <a:round/>
            </a:ln>
            <a:effectLst/>
          </c:spPr>
        </c:majorGridlines>
        <c:numFmt formatCode="#\ ##0.0\ &quot;€&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276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'Scénarios prix énergie'!$C$215</c:f>
          <c:strCache>
            <c:ptCount val="1"/>
            <c:pt idx="0">
              <c:v>Electricité - €/MWh</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0"/>
          <c:order val="0"/>
          <c:tx>
            <c:strRef>
              <c:f>'Scénarios prix énergie'!$E$215</c:f>
              <c:strCache>
                <c:ptCount val="1"/>
                <c:pt idx="0">
                  <c:v>Série historique</c:v>
                </c:pt>
              </c:strCache>
            </c:strRef>
          </c:tx>
          <c:spPr>
            <a:ln w="25400" cap="rnd">
              <a:solidFill>
                <a:schemeClr val="accent1"/>
              </a:solidFill>
              <a:prstDash val="sysDash"/>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énergie'!$G$215:$AK$215</c:f>
              <c:numCache>
                <c:formatCode>#\ ##0.0\ "€"</c:formatCode>
                <c:ptCount val="31"/>
                <c:pt idx="0">
                  <c:v>#N/A</c:v>
                </c:pt>
                <c:pt idx="1">
                  <c:v>#N/A</c:v>
                </c:pt>
                <c:pt idx="2">
                  <c:v>#N/A</c:v>
                </c:pt>
                <c:pt idx="3">
                  <c:v>#N/A</c:v>
                </c:pt>
                <c:pt idx="4">
                  <c:v>#N/A</c:v>
                </c:pt>
                <c:pt idx="5">
                  <c:v>67.400000000000006</c:v>
                </c:pt>
                <c:pt idx="6">
                  <c:v>67.400000000000006</c:v>
                </c:pt>
                <c:pt idx="7">
                  <c:v>68.5</c:v>
                </c:pt>
                <c:pt idx="8">
                  <c:v>57.249999999999993</c:v>
                </c:pt>
                <c:pt idx="9">
                  <c:v>64.900000000000006</c:v>
                </c:pt>
                <c:pt idx="10">
                  <c:v>66.099999999999994</c:v>
                </c:pt>
                <c:pt idx="11">
                  <c:v>72.099999999999994</c:v>
                </c:pt>
                <c:pt idx="12">
                  <c:v>75.550000000000011</c:v>
                </c:pt>
                <c:pt idx="13">
                  <c:v>78.800000000000011</c:v>
                </c:pt>
                <c:pt idx="14">
                  <c:v>80.900000000000006</c:v>
                </c:pt>
                <c:pt idx="15">
                  <c:v>85.75</c:v>
                </c:pt>
                <c:pt idx="16">
                  <c:v>83.7</c:v>
                </c:pt>
              </c:numCache>
            </c:numRef>
          </c:val>
          <c:smooth val="0"/>
          <c:extLst>
            <c:ext xmlns:c16="http://schemas.microsoft.com/office/drawing/2014/chart" uri="{C3380CC4-5D6E-409C-BE32-E72D297353CC}">
              <c16:uniqueId val="{00000000-6FAC-4766-9CF5-CD2C41779E97}"/>
            </c:ext>
          </c:extLst>
        </c:ser>
        <c:ser>
          <c:idx val="1"/>
          <c:order val="1"/>
          <c:tx>
            <c:strRef>
              <c:f>'Scénarios prix énergie'!$E$216</c:f>
              <c:strCache>
                <c:ptCount val="1"/>
                <c:pt idx="0">
                  <c:v>Scénario référence</c:v>
                </c:pt>
              </c:strCache>
            </c:strRef>
          </c:tx>
          <c:spPr>
            <a:ln w="28575" cap="rnd">
              <a:solidFill>
                <a:schemeClr val="accent2"/>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énergie'!$G$216:$AK$216</c:f>
              <c:numCache>
                <c:formatCode>General</c:formatCode>
                <c:ptCount val="31"/>
                <c:pt idx="16" formatCode="#\ ##0\ &quot;€&quot;">
                  <c:v>83.7</c:v>
                </c:pt>
                <c:pt idx="17" formatCode="#\ ##0\ &quot;€&quot;">
                  <c:v>85.801175375842632</c:v>
                </c:pt>
                <c:pt idx="18" formatCode="#\ ##0\ &quot;€&quot;">
                  <c:v>87.955097919666713</c:v>
                </c:pt>
                <c:pt idx="19" formatCode="#\ ##0\ &quot;€&quot;">
                  <c:v>90.163091777834339</c:v>
                </c:pt>
                <c:pt idx="20" formatCode="#\ ##0\ &quot;€&quot;">
                  <c:v>92.426514337612403</c:v>
                </c:pt>
                <c:pt idx="21" formatCode="#\ ##0\ &quot;€&quot;">
                  <c:v>94.746757061640565</c:v>
                </c:pt>
                <c:pt idx="22" formatCode="#\ ##0\ &quot;€&quot;">
                  <c:v>97.125246343347413</c:v>
                </c:pt>
                <c:pt idx="23" formatCode="#\ ##0\ &quot;€&quot;">
                  <c:v>99.563444383840732</c:v>
                </c:pt>
                <c:pt idx="24" formatCode="#\ ##0\ &quot;€&quot;">
                  <c:v>102.0628500908109</c:v>
                </c:pt>
                <c:pt idx="25" formatCode="#\ ##0\ &quot;€&quot;">
                  <c:v>104.625</c:v>
                </c:pt>
                <c:pt idx="26" formatCode="#\ ##0\ &quot;€&quot;">
                  <c:v>106.55003472938242</c:v>
                </c:pt>
                <c:pt idx="27" formatCode="#\ ##0\ &quot;€&quot;">
                  <c:v>108.51048889684682</c:v>
                </c:pt>
                <c:pt idx="28" formatCode="#\ ##0\ &quot;€&quot;">
                  <c:v>110.5070141979574</c:v>
                </c:pt>
                <c:pt idx="29" formatCode="#\ ##0\ &quot;€&quot;">
                  <c:v>112.54027431907016</c:v>
                </c:pt>
                <c:pt idx="30" formatCode="#\ ##0\ &quot;€&quot;">
                  <c:v>114.61094515795602</c:v>
                </c:pt>
              </c:numCache>
            </c:numRef>
          </c:val>
          <c:smooth val="0"/>
          <c:extLst>
            <c:ext xmlns:c16="http://schemas.microsoft.com/office/drawing/2014/chart" uri="{C3380CC4-5D6E-409C-BE32-E72D297353CC}">
              <c16:uniqueId val="{00000001-6FAC-4766-9CF5-CD2C41779E97}"/>
            </c:ext>
          </c:extLst>
        </c:ser>
        <c:ser>
          <c:idx val="2"/>
          <c:order val="2"/>
          <c:tx>
            <c:strRef>
              <c:f>'Scénarios prix énergie'!$E$217</c:f>
              <c:strCache>
                <c:ptCount val="1"/>
                <c:pt idx="0">
                  <c:v>Scénario constant</c:v>
                </c:pt>
              </c:strCache>
            </c:strRef>
          </c:tx>
          <c:spPr>
            <a:ln w="28575" cap="rnd">
              <a:solidFill>
                <a:schemeClr val="accent3"/>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énergie'!$G$217:$AK$217</c:f>
              <c:numCache>
                <c:formatCode>General</c:formatCode>
                <c:ptCount val="31"/>
                <c:pt idx="16" formatCode="#\ ##0\ &quot;€&quot;">
                  <c:v>83.7</c:v>
                </c:pt>
                <c:pt idx="17" formatCode="#\ ##0\ &quot;€&quot;">
                  <c:v>83.7</c:v>
                </c:pt>
                <c:pt idx="18" formatCode="#\ ##0\ &quot;€&quot;">
                  <c:v>83.7</c:v>
                </c:pt>
                <c:pt idx="19" formatCode="#\ ##0\ &quot;€&quot;">
                  <c:v>83.7</c:v>
                </c:pt>
                <c:pt idx="20" formatCode="#\ ##0\ &quot;€&quot;">
                  <c:v>83.7</c:v>
                </c:pt>
                <c:pt idx="21" formatCode="#\ ##0\ &quot;€&quot;">
                  <c:v>83.7</c:v>
                </c:pt>
                <c:pt idx="22" formatCode="#\ ##0\ &quot;€&quot;">
                  <c:v>83.7</c:v>
                </c:pt>
                <c:pt idx="23" formatCode="#\ ##0\ &quot;€&quot;">
                  <c:v>83.7</c:v>
                </c:pt>
                <c:pt idx="24" formatCode="#\ ##0\ &quot;€&quot;">
                  <c:v>83.7</c:v>
                </c:pt>
                <c:pt idx="25" formatCode="#\ ##0\ &quot;€&quot;">
                  <c:v>83.7</c:v>
                </c:pt>
                <c:pt idx="26" formatCode="#\ ##0\ &quot;€&quot;">
                  <c:v>83.7</c:v>
                </c:pt>
                <c:pt idx="27" formatCode="#\ ##0\ &quot;€&quot;">
                  <c:v>83.7</c:v>
                </c:pt>
                <c:pt idx="28" formatCode="#\ ##0\ &quot;€&quot;">
                  <c:v>83.7</c:v>
                </c:pt>
                <c:pt idx="29" formatCode="#\ ##0\ &quot;€&quot;">
                  <c:v>83.7</c:v>
                </c:pt>
                <c:pt idx="30" formatCode="#\ ##0\ &quot;€&quot;">
                  <c:v>83.7</c:v>
                </c:pt>
              </c:numCache>
            </c:numRef>
          </c:val>
          <c:smooth val="0"/>
          <c:extLst>
            <c:ext xmlns:c16="http://schemas.microsoft.com/office/drawing/2014/chart" uri="{C3380CC4-5D6E-409C-BE32-E72D297353CC}">
              <c16:uniqueId val="{00000002-6FAC-4766-9CF5-CD2C41779E97}"/>
            </c:ext>
          </c:extLst>
        </c:ser>
        <c:ser>
          <c:idx val="3"/>
          <c:order val="3"/>
          <c:tx>
            <c:strRef>
              <c:f>'Scénarios prix énergie'!$E$218</c:f>
              <c:strCache>
                <c:ptCount val="1"/>
                <c:pt idx="0">
                  <c:v>Scénario personnalisé</c:v>
                </c:pt>
              </c:strCache>
            </c:strRef>
          </c:tx>
          <c:spPr>
            <a:ln w="28575" cap="rnd">
              <a:solidFill>
                <a:schemeClr val="accent4"/>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énergie'!$G$218:$AK$218</c:f>
              <c:numCache>
                <c:formatCode>General</c:formatCode>
                <c:ptCount val="31"/>
                <c:pt idx="16" formatCode="#\ ##0\ &quot;€&quot;">
                  <c:v>83.7</c:v>
                </c:pt>
                <c:pt idx="17" formatCode="#\ ##0\ &quot;€&quot;">
                  <c:v>87.885000000000005</c:v>
                </c:pt>
                <c:pt idx="18" formatCode="#\ ##0\ &quot;€&quot;">
                  <c:v>92.279250000000005</c:v>
                </c:pt>
                <c:pt idx="19" formatCode="#\ ##0\ &quot;€&quot;">
                  <c:v>96.893212500000004</c:v>
                </c:pt>
                <c:pt idx="20" formatCode="#\ ##0\ &quot;€&quot;">
                  <c:v>101.73787312500001</c:v>
                </c:pt>
                <c:pt idx="21" formatCode="#\ ##0\ &quot;€&quot;">
                  <c:v>106.82476678125001</c:v>
                </c:pt>
                <c:pt idx="22" formatCode="#\ ##0\ &quot;€&quot;">
                  <c:v>112.16600512031251</c:v>
                </c:pt>
                <c:pt idx="23" formatCode="#\ ##0\ &quot;€&quot;">
                  <c:v>117.77430537632813</c:v>
                </c:pt>
                <c:pt idx="24" formatCode="#\ ##0\ &quot;€&quot;">
                  <c:v>123.66302064514454</c:v>
                </c:pt>
                <c:pt idx="25" formatCode="#\ ##0\ &quot;€&quot;">
                  <c:v>129.84617167740177</c:v>
                </c:pt>
                <c:pt idx="26" formatCode="#\ ##0\ &quot;€&quot;">
                  <c:v>136.33848026127185</c:v>
                </c:pt>
                <c:pt idx="27" formatCode="#\ ##0\ &quot;€&quot;">
                  <c:v>143.15540427433547</c:v>
                </c:pt>
                <c:pt idx="28" formatCode="#\ ##0\ &quot;€&quot;">
                  <c:v>150.31317448805225</c:v>
                </c:pt>
                <c:pt idx="29" formatCode="#\ ##0\ &quot;€&quot;">
                  <c:v>157.82883321245487</c:v>
                </c:pt>
                <c:pt idx="30" formatCode="#\ ##0\ &quot;€&quot;">
                  <c:v>165.72027487307761</c:v>
                </c:pt>
              </c:numCache>
            </c:numRef>
          </c:val>
          <c:smooth val="0"/>
          <c:extLst>
            <c:ext xmlns:c16="http://schemas.microsoft.com/office/drawing/2014/chart" uri="{C3380CC4-5D6E-409C-BE32-E72D297353CC}">
              <c16:uniqueId val="{00000003-6FAC-4766-9CF5-CD2C41779E97}"/>
            </c:ext>
          </c:extLst>
        </c:ser>
        <c:dLbls>
          <c:showLegendKey val="0"/>
          <c:showVal val="0"/>
          <c:showCatName val="0"/>
          <c:showSerName val="0"/>
          <c:showPercent val="0"/>
          <c:showBubbleSize val="0"/>
        </c:dLbls>
        <c:smooth val="0"/>
        <c:axId val="41277440"/>
        <c:axId val="191062592"/>
      </c:lineChart>
      <c:catAx>
        <c:axId val="4127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1062592"/>
        <c:crosses val="autoZero"/>
        <c:auto val="1"/>
        <c:lblAlgn val="ctr"/>
        <c:lblOffset val="100"/>
        <c:noMultiLvlLbl val="0"/>
      </c:catAx>
      <c:valAx>
        <c:axId val="191062592"/>
        <c:scaling>
          <c:orientation val="minMax"/>
        </c:scaling>
        <c:delete val="0"/>
        <c:axPos val="l"/>
        <c:majorGridlines>
          <c:spPr>
            <a:ln w="9525" cap="flat" cmpd="sng" algn="ctr">
              <a:solidFill>
                <a:schemeClr val="tx1">
                  <a:lumMod val="15000"/>
                  <a:lumOff val="85000"/>
                </a:schemeClr>
              </a:solidFill>
              <a:round/>
            </a:ln>
            <a:effectLst/>
          </c:spPr>
        </c:majorGridlines>
        <c:numFmt formatCode="#\ ##0.0\ &quot;€&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277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'Scénarios prix énergie'!$C$195</c:f>
          <c:strCache>
            <c:ptCount val="1"/>
            <c:pt idx="0">
              <c:v>Fioul Lourd - €/MWh PCI</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0"/>
          <c:order val="0"/>
          <c:tx>
            <c:strRef>
              <c:f>'Scénarios prix énergie'!$E$195</c:f>
              <c:strCache>
                <c:ptCount val="1"/>
                <c:pt idx="0">
                  <c:v>Série historique</c:v>
                </c:pt>
              </c:strCache>
            </c:strRef>
          </c:tx>
          <c:spPr>
            <a:ln w="25400" cap="rnd">
              <a:solidFill>
                <a:schemeClr val="accent1"/>
              </a:solidFill>
              <a:prstDash val="sysDash"/>
              <a:round/>
            </a:ln>
            <a:effectLst/>
          </c:spPr>
          <c:marker>
            <c:symbol val="none"/>
          </c:marker>
          <c:dPt>
            <c:idx val="10"/>
            <c:marker>
              <c:symbol val="none"/>
            </c:marker>
            <c:bubble3D val="0"/>
            <c:spPr>
              <a:ln w="25400" cap="rnd">
                <a:solidFill>
                  <a:schemeClr val="accent1"/>
                </a:solidFill>
                <a:prstDash val="sysDash"/>
                <a:round/>
              </a:ln>
              <a:effectLst/>
            </c:spPr>
            <c:extLst>
              <c:ext xmlns:c16="http://schemas.microsoft.com/office/drawing/2014/chart" uri="{C3380CC4-5D6E-409C-BE32-E72D297353CC}">
                <c16:uniqueId val="{00000001-E89D-44C7-8061-C791EF760E1A}"/>
              </c:ext>
            </c:extLst>
          </c:dPt>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énergie'!$G$195:$AK$195</c:f>
              <c:numCache>
                <c:formatCode>#\ ##0\ "€"</c:formatCode>
                <c:ptCount val="31"/>
                <c:pt idx="0">
                  <c:v>19.109891098910989</c:v>
                </c:pt>
                <c:pt idx="1">
                  <c:v>17.083070830708305</c:v>
                </c:pt>
                <c:pt idx="2">
                  <c:v>18.087480874808747</c:v>
                </c:pt>
                <c:pt idx="3">
                  <c:v>18.081180811808117</c:v>
                </c:pt>
                <c:pt idx="4">
                  <c:v>16.822068220682205</c:v>
                </c:pt>
                <c:pt idx="5">
                  <c:v>23.803438034380346</c:v>
                </c:pt>
                <c:pt idx="6">
                  <c:v>26.592565925659258</c:v>
                </c:pt>
                <c:pt idx="7">
                  <c:v>28.033480334803347</c:v>
                </c:pt>
                <c:pt idx="8">
                  <c:v>36.177661776617768</c:v>
                </c:pt>
                <c:pt idx="9">
                  <c:v>28.619386193861938</c:v>
                </c:pt>
                <c:pt idx="10">
                  <c:v>37.049770497704976</c:v>
                </c:pt>
                <c:pt idx="11">
                  <c:v>47.102871028710283</c:v>
                </c:pt>
                <c:pt idx="12">
                  <c:v>54.055440554405543</c:v>
                </c:pt>
                <c:pt idx="13">
                  <c:v>49.675096750967512</c:v>
                </c:pt>
                <c:pt idx="14">
                  <c:v>46.519665196651964</c:v>
                </c:pt>
                <c:pt idx="15">
                  <c:v>33.343608436084352</c:v>
                </c:pt>
                <c:pt idx="16">
                  <c:v>27.000270002700024</c:v>
                </c:pt>
              </c:numCache>
            </c:numRef>
          </c:val>
          <c:smooth val="0"/>
          <c:extLst>
            <c:ext xmlns:c16="http://schemas.microsoft.com/office/drawing/2014/chart" uri="{C3380CC4-5D6E-409C-BE32-E72D297353CC}">
              <c16:uniqueId val="{00000002-E89D-44C7-8061-C791EF760E1A}"/>
            </c:ext>
          </c:extLst>
        </c:ser>
        <c:ser>
          <c:idx val="1"/>
          <c:order val="1"/>
          <c:tx>
            <c:strRef>
              <c:f>'Scénarios prix énergie'!$E$196</c:f>
              <c:strCache>
                <c:ptCount val="1"/>
                <c:pt idx="0">
                  <c:v>Scénario référence</c:v>
                </c:pt>
              </c:strCache>
            </c:strRef>
          </c:tx>
          <c:spPr>
            <a:ln w="28575" cap="rnd">
              <a:solidFill>
                <a:schemeClr val="accent2"/>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énergie'!$G$196:$AK$196</c:f>
              <c:numCache>
                <c:formatCode>General</c:formatCode>
                <c:ptCount val="31"/>
                <c:pt idx="16" formatCode="#\ ##0\ &quot;€&quot;">
                  <c:v>27.000270002700024</c:v>
                </c:pt>
                <c:pt idx="17" formatCode="#\ ##0\ &quot;€&quot;">
                  <c:v>31.273740800044457</c:v>
                </c:pt>
                <c:pt idx="18" formatCode="#\ ##0\ &quot;€&quot;">
                  <c:v>38.672217070691829</c:v>
                </c:pt>
                <c:pt idx="19" formatCode="#\ ##0\ &quot;€&quot;">
                  <c:v>47.538884426706836</c:v>
                </c:pt>
                <c:pt idx="20" formatCode="#\ ##0\ &quot;€&quot;">
                  <c:v>58.166879668796675</c:v>
                </c:pt>
                <c:pt idx="21" formatCode="#\ ##0\ &quot;€&quot;">
                  <c:v>60.818174911001655</c:v>
                </c:pt>
                <c:pt idx="22" formatCode="#\ ##0\ &quot;€&quot;">
                  <c:v>63.585843856490278</c:v>
                </c:pt>
                <c:pt idx="23" formatCode="#\ ##0\ &quot;€&quot;">
                  <c:v>66.475361272483369</c:v>
                </c:pt>
                <c:pt idx="24" formatCode="#\ ##0\ &quot;€&quot;">
                  <c:v>69.492477012609513</c:v>
                </c:pt>
                <c:pt idx="25" formatCode="#\ ##0\ &quot;€&quot;">
                  <c:v>72.643230620495459</c:v>
                </c:pt>
                <c:pt idx="26" formatCode="#\ ##0\ &quot;€&quot;">
                  <c:v>75.933966741248867</c:v>
                </c:pt>
                <c:pt idx="27" formatCode="#\ ##0\ &quot;€&quot;">
                  <c:v>79.371351386816798</c:v>
                </c:pt>
                <c:pt idx="28" formatCode="#\ ##0\ &quot;€&quot;">
                  <c:v>82.962389103868503</c:v>
                </c:pt>
                <c:pt idx="29" formatCode="#\ ##0\ &quot;€&quot;">
                  <c:v>86.714441095674843</c:v>
                </c:pt>
                <c:pt idx="30" formatCode="#\ ##0\ &quot;€&quot;">
                  <c:v>90.635244352443465</c:v>
                </c:pt>
              </c:numCache>
            </c:numRef>
          </c:val>
          <c:smooth val="0"/>
          <c:extLst>
            <c:ext xmlns:c16="http://schemas.microsoft.com/office/drawing/2014/chart" uri="{C3380CC4-5D6E-409C-BE32-E72D297353CC}">
              <c16:uniqueId val="{00000003-E89D-44C7-8061-C791EF760E1A}"/>
            </c:ext>
          </c:extLst>
        </c:ser>
        <c:ser>
          <c:idx val="2"/>
          <c:order val="2"/>
          <c:tx>
            <c:strRef>
              <c:f>'Scénarios prix énergie'!$E$197</c:f>
              <c:strCache>
                <c:ptCount val="1"/>
                <c:pt idx="0">
                  <c:v>Scénario constant</c:v>
                </c:pt>
              </c:strCache>
            </c:strRef>
          </c:tx>
          <c:spPr>
            <a:ln w="28575" cap="rnd">
              <a:solidFill>
                <a:schemeClr val="accent3"/>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énergie'!$G$197:$AK$197</c:f>
              <c:numCache>
                <c:formatCode>General</c:formatCode>
                <c:ptCount val="31"/>
                <c:pt idx="16" formatCode="#\ ##0\ &quot;€&quot;">
                  <c:v>27.000270002700024</c:v>
                </c:pt>
                <c:pt idx="17" formatCode="#\ ##0\ &quot;€&quot;">
                  <c:v>27.000270002700024</c:v>
                </c:pt>
                <c:pt idx="18" formatCode="#\ ##0\ &quot;€&quot;">
                  <c:v>27.000270002700024</c:v>
                </c:pt>
                <c:pt idx="19" formatCode="#\ ##0\ &quot;€&quot;">
                  <c:v>27.000270002700024</c:v>
                </c:pt>
                <c:pt idx="20" formatCode="#\ ##0\ &quot;€&quot;">
                  <c:v>27.000270002700024</c:v>
                </c:pt>
                <c:pt idx="21" formatCode="#\ ##0\ &quot;€&quot;">
                  <c:v>27.000270002700024</c:v>
                </c:pt>
                <c:pt idx="22" formatCode="#\ ##0\ &quot;€&quot;">
                  <c:v>27.000270002700024</c:v>
                </c:pt>
                <c:pt idx="23" formatCode="#\ ##0\ &quot;€&quot;">
                  <c:v>27.000270002700024</c:v>
                </c:pt>
                <c:pt idx="24" formatCode="#\ ##0\ &quot;€&quot;">
                  <c:v>27.000270002700024</c:v>
                </c:pt>
                <c:pt idx="25" formatCode="#\ ##0\ &quot;€&quot;">
                  <c:v>27.000270002700024</c:v>
                </c:pt>
                <c:pt idx="26" formatCode="#\ ##0\ &quot;€&quot;">
                  <c:v>27.000270002700024</c:v>
                </c:pt>
                <c:pt idx="27" formatCode="#\ ##0\ &quot;€&quot;">
                  <c:v>27.000270002700024</c:v>
                </c:pt>
                <c:pt idx="28" formatCode="#\ ##0\ &quot;€&quot;">
                  <c:v>27.000270002700024</c:v>
                </c:pt>
                <c:pt idx="29" formatCode="#\ ##0\ &quot;€&quot;">
                  <c:v>27.000270002700024</c:v>
                </c:pt>
                <c:pt idx="30" formatCode="#\ ##0\ &quot;€&quot;">
                  <c:v>27.000270002700024</c:v>
                </c:pt>
              </c:numCache>
            </c:numRef>
          </c:val>
          <c:smooth val="0"/>
          <c:extLst>
            <c:ext xmlns:c16="http://schemas.microsoft.com/office/drawing/2014/chart" uri="{C3380CC4-5D6E-409C-BE32-E72D297353CC}">
              <c16:uniqueId val="{00000004-E89D-44C7-8061-C791EF760E1A}"/>
            </c:ext>
          </c:extLst>
        </c:ser>
        <c:ser>
          <c:idx val="3"/>
          <c:order val="3"/>
          <c:tx>
            <c:strRef>
              <c:f>'Scénarios prix énergie'!$E$198</c:f>
              <c:strCache>
                <c:ptCount val="1"/>
                <c:pt idx="0">
                  <c:v>Scénario personnalisé</c:v>
                </c:pt>
              </c:strCache>
            </c:strRef>
          </c:tx>
          <c:spPr>
            <a:ln w="28575" cap="rnd">
              <a:solidFill>
                <a:schemeClr val="accent4"/>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énergie'!$G$198:$AK$198</c:f>
              <c:numCache>
                <c:formatCode>General</c:formatCode>
                <c:ptCount val="31"/>
                <c:pt idx="16" formatCode="#\ ##0\ &quot;€&quot;">
                  <c:v>27.000270002700024</c:v>
                </c:pt>
                <c:pt idx="17" formatCode="#\ ##0\ &quot;€&quot;">
                  <c:v>28.350283502835026</c:v>
                </c:pt>
                <c:pt idx="18" formatCode="#\ ##0\ &quot;€&quot;">
                  <c:v>29.76779767797678</c:v>
                </c:pt>
                <c:pt idx="19" formatCode="#\ ##0\ &quot;€&quot;">
                  <c:v>31.25618756187562</c:v>
                </c:pt>
                <c:pt idx="20" formatCode="#\ ##0\ &quot;€&quot;">
                  <c:v>32.818996939969402</c:v>
                </c:pt>
                <c:pt idx="21" formatCode="#\ ##0\ &quot;€&quot;">
                  <c:v>34.459946786967876</c:v>
                </c:pt>
                <c:pt idx="22" formatCode="#\ ##0\ &quot;€&quot;">
                  <c:v>36.182944126316272</c:v>
                </c:pt>
                <c:pt idx="23" formatCode="#\ ##0\ &quot;€&quot;">
                  <c:v>37.992091332632086</c:v>
                </c:pt>
                <c:pt idx="24" formatCode="#\ ##0\ &quot;€&quot;">
                  <c:v>39.891695899263695</c:v>
                </c:pt>
                <c:pt idx="25" formatCode="#\ ##0\ &quot;€&quot;">
                  <c:v>41.886280694226883</c:v>
                </c:pt>
                <c:pt idx="26" formatCode="#\ ##0\ &quot;€&quot;">
                  <c:v>43.980594728938229</c:v>
                </c:pt>
                <c:pt idx="27" formatCode="#\ ##0\ &quot;€&quot;">
                  <c:v>46.179624465385139</c:v>
                </c:pt>
                <c:pt idx="28" formatCode="#\ ##0\ &quot;€&quot;">
                  <c:v>48.488605688654395</c:v>
                </c:pt>
                <c:pt idx="29" formatCode="#\ ##0\ &quot;€&quot;">
                  <c:v>50.913035973087119</c:v>
                </c:pt>
                <c:pt idx="30" formatCode="#\ ##0\ &quot;€&quot;">
                  <c:v>53.458687771741481</c:v>
                </c:pt>
              </c:numCache>
            </c:numRef>
          </c:val>
          <c:smooth val="0"/>
          <c:extLst>
            <c:ext xmlns:c16="http://schemas.microsoft.com/office/drawing/2014/chart" uri="{C3380CC4-5D6E-409C-BE32-E72D297353CC}">
              <c16:uniqueId val="{00000005-E89D-44C7-8061-C791EF760E1A}"/>
            </c:ext>
          </c:extLst>
        </c:ser>
        <c:dLbls>
          <c:showLegendKey val="0"/>
          <c:showVal val="0"/>
          <c:showCatName val="0"/>
          <c:showSerName val="0"/>
          <c:showPercent val="0"/>
          <c:showBubbleSize val="0"/>
        </c:dLbls>
        <c:smooth val="0"/>
        <c:axId val="41278464"/>
        <c:axId val="183706752"/>
      </c:lineChart>
      <c:catAx>
        <c:axId val="41278464"/>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83706752"/>
        <c:crosses val="autoZero"/>
        <c:auto val="1"/>
        <c:lblAlgn val="ctr"/>
        <c:lblOffset val="100"/>
        <c:tickLblSkip val="5"/>
        <c:tickMarkSkip val="5"/>
        <c:noMultiLvlLbl val="0"/>
      </c:catAx>
      <c:valAx>
        <c:axId val="18370675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1278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'Scénarios prix énergie'!$C$190</c:f>
          <c:strCache>
            <c:ptCount val="1"/>
            <c:pt idx="0">
              <c:v>Petrole brut - $/bl</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0"/>
          <c:order val="0"/>
          <c:tx>
            <c:strRef>
              <c:f>'Scénarios prix énergie'!$E$190</c:f>
              <c:strCache>
                <c:ptCount val="1"/>
                <c:pt idx="0">
                  <c:v>Série historique</c:v>
                </c:pt>
              </c:strCache>
            </c:strRef>
          </c:tx>
          <c:spPr>
            <a:ln w="25400" cap="rnd">
              <a:solidFill>
                <a:schemeClr val="accent1"/>
              </a:solidFill>
              <a:prstDash val="sysDash"/>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énergie'!$G$190:$AK$190</c:f>
              <c:numCache>
                <c:formatCode>#\ ##0\ "€"</c:formatCode>
                <c:ptCount val="31"/>
                <c:pt idx="0">
                  <c:v>28.52</c:v>
                </c:pt>
                <c:pt idx="1">
                  <c:v>24.44</c:v>
                </c:pt>
                <c:pt idx="2">
                  <c:v>24.95</c:v>
                </c:pt>
                <c:pt idx="3">
                  <c:v>28.89</c:v>
                </c:pt>
                <c:pt idx="4">
                  <c:v>38.24</c:v>
                </c:pt>
                <c:pt idx="5">
                  <c:v>54.41</c:v>
                </c:pt>
                <c:pt idx="6">
                  <c:v>65.14</c:v>
                </c:pt>
                <c:pt idx="7">
                  <c:v>72.45</c:v>
                </c:pt>
                <c:pt idx="8">
                  <c:v>96.99</c:v>
                </c:pt>
                <c:pt idx="9">
                  <c:v>61.48</c:v>
                </c:pt>
                <c:pt idx="10">
                  <c:v>79.44</c:v>
                </c:pt>
                <c:pt idx="11">
                  <c:v>111.22</c:v>
                </c:pt>
                <c:pt idx="12">
                  <c:v>111.66</c:v>
                </c:pt>
                <c:pt idx="13">
                  <c:v>108.63</c:v>
                </c:pt>
                <c:pt idx="14">
                  <c:v>99.02</c:v>
                </c:pt>
                <c:pt idx="15">
                  <c:v>52.35</c:v>
                </c:pt>
                <c:pt idx="16">
                  <c:v>40</c:v>
                </c:pt>
              </c:numCache>
            </c:numRef>
          </c:val>
          <c:smooth val="0"/>
          <c:extLst>
            <c:ext xmlns:c16="http://schemas.microsoft.com/office/drawing/2014/chart" uri="{C3380CC4-5D6E-409C-BE32-E72D297353CC}">
              <c16:uniqueId val="{00000000-AE40-4B09-85BF-F7601D01CC71}"/>
            </c:ext>
          </c:extLst>
        </c:ser>
        <c:ser>
          <c:idx val="1"/>
          <c:order val="1"/>
          <c:tx>
            <c:strRef>
              <c:f>'Scénarios prix énergie'!$E$191</c:f>
              <c:strCache>
                <c:ptCount val="1"/>
                <c:pt idx="0">
                  <c:v>Scénario référence</c:v>
                </c:pt>
              </c:strCache>
            </c:strRef>
          </c:tx>
          <c:spPr>
            <a:ln w="28575" cap="rnd">
              <a:solidFill>
                <a:schemeClr val="accent2"/>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énergie'!$G$191:$AK$191</c:f>
              <c:numCache>
                <c:formatCode>General</c:formatCode>
                <c:ptCount val="31"/>
                <c:pt idx="16" formatCode="#\ ##0\ &quot;€&quot;">
                  <c:v>40</c:v>
                </c:pt>
                <c:pt idx="17" formatCode="#\ ##0\ &quot;€&quot;">
                  <c:v>47.568284600108839</c:v>
                </c:pt>
                <c:pt idx="18" formatCode="#\ ##0\ &quot;€&quot;">
                  <c:v>56.568542494923797</c:v>
                </c:pt>
                <c:pt idx="19" formatCode="#\ ##0\ &quot;€&quot;">
                  <c:v>67.271713220297158</c:v>
                </c:pt>
                <c:pt idx="20" formatCode="#\ ##0\ &quot;€&quot;">
                  <c:v>80</c:v>
                </c:pt>
                <c:pt idx="21" formatCode="#\ ##0\ &quot;€&quot;">
                  <c:v>82.811153222749653</c:v>
                </c:pt>
                <c:pt idx="22" formatCode="#\ ##0\ &quot;€&quot;">
                  <c:v>85.721088726021506</c:v>
                </c:pt>
                <c:pt idx="23" formatCode="#\ ##0\ &quot;€&quot;">
                  <c:v>88.733277661393558</c:v>
                </c:pt>
                <c:pt idx="24" formatCode="#\ ##0\ &quot;€&quot;">
                  <c:v>91.851313154680639</c:v>
                </c:pt>
                <c:pt idx="25" formatCode="#\ ##0\ &quot;€&quot;">
                  <c:v>95.078914592037748</c:v>
                </c:pt>
                <c:pt idx="26" formatCode="#\ ##0\ &quot;€&quot;">
                  <c:v>98.419932056674583</c:v>
                </c:pt>
                <c:pt idx="27" formatCode="#\ ##0\ &quot;€&quot;">
                  <c:v>101.87835092147363</c:v>
                </c:pt>
                <c:pt idx="28" formatCode="#\ ##0\ &quot;€&quot;">
                  <c:v>105.45829660299013</c:v>
                </c:pt>
                <c:pt idx="29" formatCode="#\ ##0\ &quot;€&quot;">
                  <c:v>109.16403948250495</c:v>
                </c:pt>
                <c:pt idx="30" formatCode="#\ ##0\ &quot;€&quot;">
                  <c:v>113</c:v>
                </c:pt>
              </c:numCache>
            </c:numRef>
          </c:val>
          <c:smooth val="0"/>
          <c:extLst>
            <c:ext xmlns:c16="http://schemas.microsoft.com/office/drawing/2014/chart" uri="{C3380CC4-5D6E-409C-BE32-E72D297353CC}">
              <c16:uniqueId val="{00000001-AE40-4B09-85BF-F7601D01CC71}"/>
            </c:ext>
          </c:extLst>
        </c:ser>
        <c:ser>
          <c:idx val="2"/>
          <c:order val="2"/>
          <c:tx>
            <c:strRef>
              <c:f>'Scénarios prix énergie'!$E$192</c:f>
              <c:strCache>
                <c:ptCount val="1"/>
                <c:pt idx="0">
                  <c:v>Scénario constant</c:v>
                </c:pt>
              </c:strCache>
            </c:strRef>
          </c:tx>
          <c:spPr>
            <a:ln w="28575" cap="rnd">
              <a:solidFill>
                <a:schemeClr val="accent3"/>
              </a:solidFill>
              <a:round/>
            </a:ln>
            <a:effectLst/>
          </c:spPr>
          <c:marker>
            <c:symbol val="none"/>
          </c:marker>
          <c:cat>
            <c:numRef>
              <c:f>'Scénarios prix énergie'!$G$189:$AK$189</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'Scénarios prix énergie'!$G$192:$AK$192</c:f>
              <c:numCache>
                <c:formatCode>General</c:formatCode>
                <c:ptCount val="31"/>
                <c:pt idx="16" formatCode="#\ ##0\ &quot;€&quot;">
                  <c:v>40</c:v>
                </c:pt>
                <c:pt idx="17" formatCode="#\ ##0\ &quot;€&quot;">
                  <c:v>40</c:v>
                </c:pt>
                <c:pt idx="18" formatCode="#\ ##0\ &quot;€&quot;">
                  <c:v>40</c:v>
                </c:pt>
                <c:pt idx="19" formatCode="#\ ##0\ &quot;€&quot;">
                  <c:v>40</c:v>
                </c:pt>
                <c:pt idx="20" formatCode="#\ ##0\ &quot;€&quot;">
                  <c:v>40</c:v>
                </c:pt>
                <c:pt idx="21" formatCode="#\ ##0\ &quot;€&quot;">
                  <c:v>40</c:v>
                </c:pt>
                <c:pt idx="22" formatCode="#\ ##0\ &quot;€&quot;">
                  <c:v>40</c:v>
                </c:pt>
                <c:pt idx="23" formatCode="#\ ##0\ &quot;€&quot;">
                  <c:v>40</c:v>
                </c:pt>
                <c:pt idx="24" formatCode="#\ ##0\ &quot;€&quot;">
                  <c:v>40</c:v>
                </c:pt>
                <c:pt idx="25" formatCode="#\ ##0\ &quot;€&quot;">
                  <c:v>40</c:v>
                </c:pt>
                <c:pt idx="26" formatCode="#\ ##0\ &quot;€&quot;">
                  <c:v>40</c:v>
                </c:pt>
                <c:pt idx="27" formatCode="#\ ##0\ &quot;€&quot;">
                  <c:v>40</c:v>
                </c:pt>
                <c:pt idx="28" formatCode="#\ ##0\ &quot;€&quot;">
                  <c:v>40</c:v>
                </c:pt>
                <c:pt idx="29" formatCode="#\ ##0\ &quot;€&quot;">
                  <c:v>40</c:v>
                </c:pt>
                <c:pt idx="30" formatCode="#\ ##0\ &quot;€&quot;">
                  <c:v>40</c:v>
                </c:pt>
              </c:numCache>
            </c:numRef>
          </c:val>
          <c:smooth val="0"/>
          <c:extLst>
            <c:ext xmlns:c16="http://schemas.microsoft.com/office/drawing/2014/chart" uri="{C3380CC4-5D6E-409C-BE32-E72D297353CC}">
              <c16:uniqueId val="{00000002-AE40-4B09-85BF-F7601D01CC71}"/>
            </c:ext>
          </c:extLst>
        </c:ser>
        <c:dLbls>
          <c:showLegendKey val="0"/>
          <c:showVal val="0"/>
          <c:showCatName val="0"/>
          <c:showSerName val="0"/>
          <c:showPercent val="0"/>
          <c:showBubbleSize val="0"/>
        </c:dLbls>
        <c:smooth val="0"/>
        <c:axId val="41261056"/>
        <c:axId val="183709056"/>
      </c:lineChart>
      <c:catAx>
        <c:axId val="41261056"/>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83709056"/>
        <c:crosses val="autoZero"/>
        <c:auto val="1"/>
        <c:lblAlgn val="ctr"/>
        <c:lblOffset val="100"/>
        <c:tickLblSkip val="5"/>
        <c:tickMarkSkip val="5"/>
        <c:noMultiLvlLbl val="0"/>
      </c:catAx>
      <c:valAx>
        <c:axId val="18370905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1261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Projections des prix de l'énergie - Scénario personnalisé - €/MWh</a:t>
            </a:r>
          </a:p>
        </c:rich>
      </c:tx>
      <c:overlay val="0"/>
    </c:title>
    <c:autoTitleDeleted val="0"/>
    <c:plotArea>
      <c:layout/>
      <c:lineChart>
        <c:grouping val="standard"/>
        <c:varyColors val="0"/>
        <c:ser>
          <c:idx val="0"/>
          <c:order val="0"/>
          <c:tx>
            <c:strRef>
              <c:f>'Scénarios prix énergie'!$D$70</c:f>
              <c:strCache>
                <c:ptCount val="1"/>
                <c:pt idx="0">
                  <c:v>Electricité</c:v>
                </c:pt>
              </c:strCache>
            </c:strRef>
          </c:tx>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énergie'!$D$77:$D$103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formatCode="#,##0">
                  <c:v>83.7</c:v>
                </c:pt>
                <c:pt idx="13" formatCode="#,##0">
                  <c:v>87.885000000000005</c:v>
                </c:pt>
                <c:pt idx="14" formatCode="#,##0">
                  <c:v>92.279250000000005</c:v>
                </c:pt>
                <c:pt idx="15" formatCode="#,##0">
                  <c:v>96.893212500000004</c:v>
                </c:pt>
                <c:pt idx="16" formatCode="#,##0">
                  <c:v>101.73787312500001</c:v>
                </c:pt>
                <c:pt idx="17" formatCode="#,##0">
                  <c:v>106.82476678125001</c:v>
                </c:pt>
                <c:pt idx="18" formatCode="#,##0">
                  <c:v>112.16600512031251</c:v>
                </c:pt>
                <c:pt idx="19" formatCode="#,##0">
                  <c:v>117.77430537632813</c:v>
                </c:pt>
                <c:pt idx="20" formatCode="#,##0">
                  <c:v>123.66302064514454</c:v>
                </c:pt>
                <c:pt idx="21" formatCode="#,##0">
                  <c:v>129.84617167740177</c:v>
                </c:pt>
                <c:pt idx="22" formatCode="#,##0">
                  <c:v>136.33848026127185</c:v>
                </c:pt>
                <c:pt idx="23" formatCode="#,##0">
                  <c:v>143.15540427433547</c:v>
                </c:pt>
                <c:pt idx="24" formatCode="#,##0">
                  <c:v>150.31317448805225</c:v>
                </c:pt>
                <c:pt idx="25" formatCode="#,##0">
                  <c:v>157.82883321245487</c:v>
                </c:pt>
                <c:pt idx="26" formatCode="#,##0">
                  <c:v>165.72027487307761</c:v>
                </c:pt>
              </c:numCache>
            </c:numRef>
          </c:val>
          <c:smooth val="0"/>
          <c:extLst>
            <c:ext xmlns:c16="http://schemas.microsoft.com/office/drawing/2014/chart" uri="{C3380CC4-5D6E-409C-BE32-E72D297353CC}">
              <c16:uniqueId val="{00000000-092B-4B9C-8BFF-A658812BE101}"/>
            </c:ext>
          </c:extLst>
        </c:ser>
        <c:ser>
          <c:idx val="1"/>
          <c:order val="1"/>
          <c:tx>
            <c:strRef>
              <c:f>'Scénarios prix énergie'!$E$70</c:f>
              <c:strCache>
                <c:ptCount val="1"/>
                <c:pt idx="0">
                  <c:v>Gaz naturel</c:v>
                </c:pt>
              </c:strCache>
            </c:strRef>
          </c:tx>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énergie'!$E$77:$E$103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formatCode="#,##0">
                  <c:v>40.888888888888886</c:v>
                </c:pt>
                <c:pt idx="13" formatCode="#,##0">
                  <c:v>42.93333333333333</c:v>
                </c:pt>
                <c:pt idx="14" formatCode="#,##0">
                  <c:v>45.08</c:v>
                </c:pt>
                <c:pt idx="15" formatCode="#,##0">
                  <c:v>47.334000000000003</c:v>
                </c:pt>
                <c:pt idx="16" formatCode="#,##0">
                  <c:v>49.700700000000005</c:v>
                </c:pt>
                <c:pt idx="17" formatCode="#,##0">
                  <c:v>52.185735000000008</c:v>
                </c:pt>
                <c:pt idx="18" formatCode="#,##0">
                  <c:v>54.795021750000011</c:v>
                </c:pt>
                <c:pt idx="19" formatCode="#,##0">
                  <c:v>57.534772837500014</c:v>
                </c:pt>
                <c:pt idx="20" formatCode="#,##0">
                  <c:v>60.411511479375015</c:v>
                </c:pt>
                <c:pt idx="21" formatCode="#,##0">
                  <c:v>63.432087053343771</c:v>
                </c:pt>
                <c:pt idx="22" formatCode="#,##0">
                  <c:v>66.603691406010967</c:v>
                </c:pt>
                <c:pt idx="23" formatCode="#,##0">
                  <c:v>69.933875976311512</c:v>
                </c:pt>
                <c:pt idx="24" formatCode="#,##0">
                  <c:v>73.430569775127097</c:v>
                </c:pt>
                <c:pt idx="25" formatCode="#,##0">
                  <c:v>77.102098263883448</c:v>
                </c:pt>
                <c:pt idx="26" formatCode="#,##0">
                  <c:v>80.957203177077631</c:v>
                </c:pt>
              </c:numCache>
            </c:numRef>
          </c:val>
          <c:smooth val="0"/>
          <c:extLst>
            <c:ext xmlns:c16="http://schemas.microsoft.com/office/drawing/2014/chart" uri="{C3380CC4-5D6E-409C-BE32-E72D297353CC}">
              <c16:uniqueId val="{00000001-092B-4B9C-8BFF-A658812BE101}"/>
            </c:ext>
          </c:extLst>
        </c:ser>
        <c:ser>
          <c:idx val="2"/>
          <c:order val="2"/>
          <c:tx>
            <c:strRef>
              <c:f>'Scénarios prix énergie'!$F$70</c:f>
              <c:strCache>
                <c:ptCount val="1"/>
                <c:pt idx="0">
                  <c:v>Fioul lourd</c:v>
                </c:pt>
              </c:strCache>
            </c:strRef>
          </c:tx>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énergie'!$F$77:$F$103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formatCode="#,##0">
                  <c:v>27.000270002700024</c:v>
                </c:pt>
                <c:pt idx="13" formatCode="#,##0">
                  <c:v>28.350283502835026</c:v>
                </c:pt>
                <c:pt idx="14" formatCode="#,##0">
                  <c:v>29.76779767797678</c:v>
                </c:pt>
                <c:pt idx="15" formatCode="#,##0">
                  <c:v>31.25618756187562</c:v>
                </c:pt>
                <c:pt idx="16" formatCode="#,##0">
                  <c:v>32.818996939969402</c:v>
                </c:pt>
                <c:pt idx="17" formatCode="#,##0">
                  <c:v>34.459946786967876</c:v>
                </c:pt>
                <c:pt idx="18" formatCode="#,##0">
                  <c:v>36.182944126316272</c:v>
                </c:pt>
                <c:pt idx="19" formatCode="#,##0">
                  <c:v>37.992091332632086</c:v>
                </c:pt>
                <c:pt idx="20" formatCode="#,##0">
                  <c:v>39.891695899263695</c:v>
                </c:pt>
                <c:pt idx="21" formatCode="#,##0">
                  <c:v>41.886280694226883</c:v>
                </c:pt>
                <c:pt idx="22" formatCode="#,##0">
                  <c:v>43.980594728938229</c:v>
                </c:pt>
                <c:pt idx="23" formatCode="#,##0">
                  <c:v>46.179624465385139</c:v>
                </c:pt>
                <c:pt idx="24" formatCode="#,##0">
                  <c:v>48.488605688654395</c:v>
                </c:pt>
                <c:pt idx="25" formatCode="#,##0">
                  <c:v>50.913035973087119</c:v>
                </c:pt>
                <c:pt idx="26" formatCode="#,##0">
                  <c:v>53.458687771741481</c:v>
                </c:pt>
              </c:numCache>
            </c:numRef>
          </c:val>
          <c:smooth val="0"/>
          <c:extLst>
            <c:ext xmlns:c16="http://schemas.microsoft.com/office/drawing/2014/chart" uri="{C3380CC4-5D6E-409C-BE32-E72D297353CC}">
              <c16:uniqueId val="{00000002-092B-4B9C-8BFF-A658812BE101}"/>
            </c:ext>
          </c:extLst>
        </c:ser>
        <c:ser>
          <c:idx val="3"/>
          <c:order val="3"/>
          <c:tx>
            <c:strRef>
              <c:f>'Scénarios prix énergie'!$G$70</c:f>
              <c:strCache>
                <c:ptCount val="1"/>
                <c:pt idx="0">
                  <c:v>Fioul domestique</c:v>
                </c:pt>
              </c:strCache>
            </c:strRef>
          </c:tx>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énergie'!$G$77:$G$103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formatCode="#,##0">
                  <c:v>47.300000000000004</c:v>
                </c:pt>
                <c:pt idx="13" formatCode="#,##0">
                  <c:v>49.665000000000006</c:v>
                </c:pt>
                <c:pt idx="14" formatCode="#,##0">
                  <c:v>52.148250000000012</c:v>
                </c:pt>
                <c:pt idx="15" formatCode="#,##0">
                  <c:v>54.755662500000014</c:v>
                </c:pt>
                <c:pt idx="16" formatCode="#,##0">
                  <c:v>57.493445625000014</c:v>
                </c:pt>
                <c:pt idx="17" formatCode="#,##0">
                  <c:v>60.368117906250021</c:v>
                </c:pt>
                <c:pt idx="18" formatCode="#,##0">
                  <c:v>63.386523801562525</c:v>
                </c:pt>
                <c:pt idx="19" formatCode="#,##0">
                  <c:v>66.555849991640656</c:v>
                </c:pt>
                <c:pt idx="20" formatCode="#,##0">
                  <c:v>69.883642491222687</c:v>
                </c:pt>
                <c:pt idx="21" formatCode="#,##0">
                  <c:v>73.377824615783823</c:v>
                </c:pt>
                <c:pt idx="22" formatCode="#,##0">
                  <c:v>77.046715846573022</c:v>
                </c:pt>
                <c:pt idx="23" formatCode="#,##0">
                  <c:v>80.899051638901682</c:v>
                </c:pt>
                <c:pt idx="24" formatCode="#,##0">
                  <c:v>84.944004220846764</c:v>
                </c:pt>
                <c:pt idx="25" formatCode="#,##0">
                  <c:v>89.191204431889105</c:v>
                </c:pt>
                <c:pt idx="26" formatCode="#,##0">
                  <c:v>93.650764653483563</c:v>
                </c:pt>
              </c:numCache>
            </c:numRef>
          </c:val>
          <c:smooth val="0"/>
          <c:extLst>
            <c:ext xmlns:c16="http://schemas.microsoft.com/office/drawing/2014/chart" uri="{C3380CC4-5D6E-409C-BE32-E72D297353CC}">
              <c16:uniqueId val="{00000003-092B-4B9C-8BFF-A658812BE101}"/>
            </c:ext>
          </c:extLst>
        </c:ser>
        <c:ser>
          <c:idx val="4"/>
          <c:order val="4"/>
          <c:tx>
            <c:strRef>
              <c:f>'Scénarios prix énergie'!$H$70</c:f>
              <c:strCache>
                <c:ptCount val="1"/>
                <c:pt idx="0">
                  <c:v>GPL</c:v>
                </c:pt>
              </c:strCache>
            </c:strRef>
          </c:tx>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énergie'!$H$77:$H$103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formatCode="#,##0">
                  <c:v>95.311626666875682</c:v>
                </c:pt>
                <c:pt idx="13" formatCode="#,##0">
                  <c:v>100.07720800021947</c:v>
                </c:pt>
                <c:pt idx="14" formatCode="#,##0">
                  <c:v>105.08106840023045</c:v>
                </c:pt>
                <c:pt idx="15" formatCode="#,##0">
                  <c:v>110.33512182024198</c:v>
                </c:pt>
                <c:pt idx="16" formatCode="#,##0">
                  <c:v>115.85187791125408</c:v>
                </c:pt>
                <c:pt idx="17" formatCode="#,##0">
                  <c:v>121.64447180681678</c:v>
                </c:pt>
                <c:pt idx="18" formatCode="#,##0">
                  <c:v>127.72669539715763</c:v>
                </c:pt>
                <c:pt idx="19" formatCode="#,##0">
                  <c:v>134.11303016701552</c:v>
                </c:pt>
                <c:pt idx="20" formatCode="#,##0">
                  <c:v>140.81868167536629</c:v>
                </c:pt>
                <c:pt idx="21" formatCode="#,##0">
                  <c:v>147.85961575913461</c:v>
                </c:pt>
                <c:pt idx="22" formatCode="#,##0">
                  <c:v>155.25259654709134</c:v>
                </c:pt>
                <c:pt idx="23" formatCode="#,##0">
                  <c:v>163.01522637444592</c:v>
                </c:pt>
                <c:pt idx="24" formatCode="#,##0">
                  <c:v>171.16598769316823</c:v>
                </c:pt>
                <c:pt idx="25" formatCode="#,##0">
                  <c:v>179.72428707782666</c:v>
                </c:pt>
                <c:pt idx="26" formatCode="#,##0">
                  <c:v>188.710501431718</c:v>
                </c:pt>
              </c:numCache>
            </c:numRef>
          </c:val>
          <c:smooth val="0"/>
          <c:extLst>
            <c:ext xmlns:c16="http://schemas.microsoft.com/office/drawing/2014/chart" uri="{C3380CC4-5D6E-409C-BE32-E72D297353CC}">
              <c16:uniqueId val="{00000004-092B-4B9C-8BFF-A658812BE101}"/>
            </c:ext>
          </c:extLst>
        </c:ser>
        <c:ser>
          <c:idx val="8"/>
          <c:order val="5"/>
          <c:tx>
            <c:v>Elec histo</c:v>
          </c:tx>
          <c:spPr>
            <a:ln w="25400">
              <a:solidFill>
                <a:schemeClr val="accent1"/>
              </a:solidFill>
              <a:prstDash val="sysDash"/>
            </a:ln>
          </c:spPr>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énergie'!$X$77:$X$103</c:f>
              <c:numCache>
                <c:formatCode>0.0</c:formatCode>
                <c:ptCount val="27"/>
                <c:pt idx="0">
                  <c:v>#N/A</c:v>
                </c:pt>
                <c:pt idx="1">
                  <c:v>67.400000000000006</c:v>
                </c:pt>
                <c:pt idx="2">
                  <c:v>67.400000000000006</c:v>
                </c:pt>
                <c:pt idx="3">
                  <c:v>68.5</c:v>
                </c:pt>
                <c:pt idx="4">
                  <c:v>57.249999999999993</c:v>
                </c:pt>
                <c:pt idx="5">
                  <c:v>64.900000000000006</c:v>
                </c:pt>
                <c:pt idx="6">
                  <c:v>66.099999999999994</c:v>
                </c:pt>
                <c:pt idx="7">
                  <c:v>72.099999999999994</c:v>
                </c:pt>
                <c:pt idx="8">
                  <c:v>75.550000000000011</c:v>
                </c:pt>
                <c:pt idx="9">
                  <c:v>78.800000000000011</c:v>
                </c:pt>
                <c:pt idx="10">
                  <c:v>80.900000000000006</c:v>
                </c:pt>
                <c:pt idx="11">
                  <c:v>85.75</c:v>
                </c:pt>
                <c:pt idx="12">
                  <c:v>83.7</c:v>
                </c:pt>
              </c:numCache>
            </c:numRef>
          </c:val>
          <c:smooth val="0"/>
          <c:extLst>
            <c:ext xmlns:c16="http://schemas.microsoft.com/office/drawing/2014/chart" uri="{C3380CC4-5D6E-409C-BE32-E72D297353CC}">
              <c16:uniqueId val="{00000005-092B-4B9C-8BFF-A658812BE101}"/>
            </c:ext>
          </c:extLst>
        </c:ser>
        <c:ser>
          <c:idx val="9"/>
          <c:order val="6"/>
          <c:tx>
            <c:v>Gaz histo</c:v>
          </c:tx>
          <c:spPr>
            <a:ln w="25400">
              <a:solidFill>
                <a:schemeClr val="accent2"/>
              </a:solidFill>
              <a:prstDash val="sysDash"/>
            </a:ln>
          </c:spPr>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énergie'!$Y$77:$Y$103</c:f>
              <c:numCache>
                <c:formatCode>0.0</c:formatCode>
                <c:ptCount val="27"/>
                <c:pt idx="0">
                  <c:v>22.038236941044715</c:v>
                </c:pt>
                <c:pt idx="1">
                  <c:v>26.657867370610351</c:v>
                </c:pt>
                <c:pt idx="2">
                  <c:v>33.417326613870891</c:v>
                </c:pt>
                <c:pt idx="3">
                  <c:v>31.317494600431964</c:v>
                </c:pt>
                <c:pt idx="4">
                  <c:v>40.166666666666664</c:v>
                </c:pt>
                <c:pt idx="5">
                  <c:v>37.611111111111114</c:v>
                </c:pt>
                <c:pt idx="6">
                  <c:v>37.777777777777779</c:v>
                </c:pt>
                <c:pt idx="7">
                  <c:v>41.277777777777786</c:v>
                </c:pt>
                <c:pt idx="8">
                  <c:v>43.999999999999993</c:v>
                </c:pt>
                <c:pt idx="9">
                  <c:v>44.222222222222229</c:v>
                </c:pt>
                <c:pt idx="10">
                  <c:v>42.55555555555555</c:v>
                </c:pt>
                <c:pt idx="11">
                  <c:v>41.388888888888886</c:v>
                </c:pt>
                <c:pt idx="12">
                  <c:v>40.888888888888886</c:v>
                </c:pt>
              </c:numCache>
            </c:numRef>
          </c:val>
          <c:smooth val="0"/>
          <c:extLst>
            <c:ext xmlns:c16="http://schemas.microsoft.com/office/drawing/2014/chart" uri="{C3380CC4-5D6E-409C-BE32-E72D297353CC}">
              <c16:uniqueId val="{00000006-092B-4B9C-8BFF-A658812BE101}"/>
            </c:ext>
          </c:extLst>
        </c:ser>
        <c:ser>
          <c:idx val="10"/>
          <c:order val="7"/>
          <c:tx>
            <c:v>FL histo</c:v>
          </c:tx>
          <c:spPr>
            <a:ln w="25400">
              <a:solidFill>
                <a:schemeClr val="accent3">
                  <a:lumMod val="75000"/>
                </a:schemeClr>
              </a:solidFill>
              <a:prstDash val="sysDash"/>
            </a:ln>
          </c:spPr>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énergie'!$Z$77:$Z$103</c:f>
              <c:numCache>
                <c:formatCode>0.0</c:formatCode>
                <c:ptCount val="27"/>
                <c:pt idx="0">
                  <c:v>16.822068220682205</c:v>
                </c:pt>
                <c:pt idx="1">
                  <c:v>23.803438034380346</c:v>
                </c:pt>
                <c:pt idx="2">
                  <c:v>26.592565925659258</c:v>
                </c:pt>
                <c:pt idx="3">
                  <c:v>28.033480334803347</c:v>
                </c:pt>
                <c:pt idx="4">
                  <c:v>36.177661776617768</c:v>
                </c:pt>
                <c:pt idx="5">
                  <c:v>28.619386193861938</c:v>
                </c:pt>
                <c:pt idx="6">
                  <c:v>37.049770497704976</c:v>
                </c:pt>
                <c:pt idx="7">
                  <c:v>47.102871028710283</c:v>
                </c:pt>
                <c:pt idx="8">
                  <c:v>54.055440554405543</c:v>
                </c:pt>
                <c:pt idx="9">
                  <c:v>49.675096750967512</c:v>
                </c:pt>
                <c:pt idx="10">
                  <c:v>46.519665196651964</c:v>
                </c:pt>
                <c:pt idx="11">
                  <c:v>33.343608436084352</c:v>
                </c:pt>
                <c:pt idx="12">
                  <c:v>27.000270002700024</c:v>
                </c:pt>
              </c:numCache>
            </c:numRef>
          </c:val>
          <c:smooth val="0"/>
          <c:extLst>
            <c:ext xmlns:c16="http://schemas.microsoft.com/office/drawing/2014/chart" uri="{C3380CC4-5D6E-409C-BE32-E72D297353CC}">
              <c16:uniqueId val="{00000007-092B-4B9C-8BFF-A658812BE101}"/>
            </c:ext>
          </c:extLst>
        </c:ser>
        <c:ser>
          <c:idx val="11"/>
          <c:order val="8"/>
          <c:tx>
            <c:v>FD histo</c:v>
          </c:tx>
          <c:spPr>
            <a:ln w="25400">
              <a:solidFill>
                <a:schemeClr val="accent4">
                  <a:lumMod val="75000"/>
                </a:schemeClr>
              </a:solidFill>
              <a:prstDash val="sysDash"/>
            </a:ln>
          </c:spPr>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énergie'!$AA$77:$AA$103</c:f>
              <c:numCache>
                <c:formatCode>0.0</c:formatCode>
                <c:ptCount val="27"/>
                <c:pt idx="0">
                  <c:v>37.583333333333329</c:v>
                </c:pt>
                <c:pt idx="1">
                  <c:v>49.083333333333336</c:v>
                </c:pt>
                <c:pt idx="2">
                  <c:v>54.25</c:v>
                </c:pt>
                <c:pt idx="3">
                  <c:v>54.416666666666664</c:v>
                </c:pt>
                <c:pt idx="4">
                  <c:v>69.666666666666671</c:v>
                </c:pt>
                <c:pt idx="5">
                  <c:v>48.083333333333329</c:v>
                </c:pt>
                <c:pt idx="6">
                  <c:v>59.833333333333336</c:v>
                </c:pt>
                <c:pt idx="7">
                  <c:v>74.166666666666671</c:v>
                </c:pt>
                <c:pt idx="8">
                  <c:v>81</c:v>
                </c:pt>
                <c:pt idx="9">
                  <c:v>77.5</c:v>
                </c:pt>
                <c:pt idx="10">
                  <c:v>71.833333333333329</c:v>
                </c:pt>
                <c:pt idx="11">
                  <c:v>59.26819444444444</c:v>
                </c:pt>
                <c:pt idx="12">
                  <c:v>47.300000000000004</c:v>
                </c:pt>
              </c:numCache>
            </c:numRef>
          </c:val>
          <c:smooth val="0"/>
          <c:extLst>
            <c:ext xmlns:c16="http://schemas.microsoft.com/office/drawing/2014/chart" uri="{C3380CC4-5D6E-409C-BE32-E72D297353CC}">
              <c16:uniqueId val="{00000008-092B-4B9C-8BFF-A658812BE101}"/>
            </c:ext>
          </c:extLst>
        </c:ser>
        <c:ser>
          <c:idx val="12"/>
          <c:order val="9"/>
          <c:tx>
            <c:v>GPL histo</c:v>
          </c:tx>
          <c:spPr>
            <a:ln w="25400">
              <a:solidFill>
                <a:schemeClr val="accent5">
                  <a:lumMod val="75000"/>
                </a:schemeClr>
              </a:solidFill>
              <a:prstDash val="sysDash"/>
            </a:ln>
          </c:spPr>
          <c:marker>
            <c:symbol val="none"/>
          </c:marker>
          <c:cat>
            <c:numRef>
              <c:f>'Scénarios prix énergie'!$C$77:$C$103</c:f>
              <c:numCache>
                <c:formatCode>0</c:formatCode>
                <c:ptCount val="2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numCache>
            </c:numRef>
          </c:cat>
          <c:val>
            <c:numRef>
              <c:f>'Scénarios prix énergie'!$AB$77:$AB$103</c:f>
              <c:numCache>
                <c:formatCode>0.0</c:formatCode>
                <c:ptCount val="27"/>
                <c:pt idx="0">
                  <c:v>67.662402809129674</c:v>
                </c:pt>
                <c:pt idx="1">
                  <c:v>77.25420115374969</c:v>
                </c:pt>
                <c:pt idx="2">
                  <c:v>85.719839478304493</c:v>
                </c:pt>
                <c:pt idx="3">
                  <c:v>87.114998745924268</c:v>
                </c:pt>
                <c:pt idx="4">
                  <c:v>98.355279658891405</c:v>
                </c:pt>
                <c:pt idx="5">
                  <c:v>85.617005267118145</c:v>
                </c:pt>
                <c:pt idx="6">
                  <c:v>91.265362427890651</c:v>
                </c:pt>
                <c:pt idx="7">
                  <c:v>104.73413594181089</c:v>
                </c:pt>
                <c:pt idx="8">
                  <c:v>112.30812641083523</c:v>
                </c:pt>
                <c:pt idx="9">
                  <c:v>114.26511161274141</c:v>
                </c:pt>
                <c:pt idx="10">
                  <c:v>106.93585663824096</c:v>
                </c:pt>
                <c:pt idx="11">
                  <c:v>99.992441580971501</c:v>
                </c:pt>
                <c:pt idx="12">
                  <c:v>95.311626666875682</c:v>
                </c:pt>
              </c:numCache>
            </c:numRef>
          </c:val>
          <c:smooth val="0"/>
          <c:extLst>
            <c:ext xmlns:c16="http://schemas.microsoft.com/office/drawing/2014/chart" uri="{C3380CC4-5D6E-409C-BE32-E72D297353CC}">
              <c16:uniqueId val="{00000009-092B-4B9C-8BFF-A658812BE101}"/>
            </c:ext>
          </c:extLst>
        </c:ser>
        <c:dLbls>
          <c:showLegendKey val="0"/>
          <c:showVal val="0"/>
          <c:showCatName val="0"/>
          <c:showSerName val="0"/>
          <c:showPercent val="0"/>
          <c:showBubbleSize val="0"/>
        </c:dLbls>
        <c:smooth val="0"/>
        <c:axId val="41388032"/>
        <c:axId val="183711360"/>
      </c:lineChart>
      <c:catAx>
        <c:axId val="41388032"/>
        <c:scaling>
          <c:orientation val="minMax"/>
        </c:scaling>
        <c:delete val="0"/>
        <c:axPos val="b"/>
        <c:numFmt formatCode="0" sourceLinked="1"/>
        <c:majorTickMark val="out"/>
        <c:minorTickMark val="none"/>
        <c:tickLblPos val="nextTo"/>
        <c:crossAx val="183711360"/>
        <c:crosses val="autoZero"/>
        <c:auto val="1"/>
        <c:lblAlgn val="ctr"/>
        <c:lblOffset val="100"/>
        <c:noMultiLvlLbl val="0"/>
      </c:catAx>
      <c:valAx>
        <c:axId val="183711360"/>
        <c:scaling>
          <c:orientation val="minMax"/>
        </c:scaling>
        <c:delete val="0"/>
        <c:axPos val="l"/>
        <c:majorGridlines>
          <c:spPr>
            <a:ln>
              <a:solidFill>
                <a:schemeClr val="bg1">
                  <a:lumMod val="75000"/>
                </a:schemeClr>
              </a:solidFill>
            </a:ln>
          </c:spPr>
        </c:majorGridlines>
        <c:numFmt formatCode="#,##0\ &quot;€&quot;" sourceLinked="0"/>
        <c:majorTickMark val="out"/>
        <c:minorTickMark val="none"/>
        <c:tickLblPos val="nextTo"/>
        <c:crossAx val="41388032"/>
        <c:crosses val="autoZero"/>
        <c:crossBetween val="between"/>
      </c:valAx>
    </c:plotArea>
    <c:legend>
      <c:legendPos val="b"/>
      <c:legendEntry>
        <c:idx val="5"/>
        <c:delete val="1"/>
      </c:legendEntry>
      <c:legendEntry>
        <c:idx val="6"/>
        <c:delete val="1"/>
      </c:legendEntry>
      <c:legendEntry>
        <c:idx val="7"/>
        <c:delete val="1"/>
      </c:legendEntry>
      <c:legendEntry>
        <c:idx val="8"/>
        <c:delete val="1"/>
      </c:legendEntry>
      <c:legendEntry>
        <c:idx val="9"/>
        <c:delete val="1"/>
      </c:legendEntry>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Projections des prix de l'énergie - Scénario personnalisé - €/MWh</a:t>
            </a:r>
          </a:p>
        </c:rich>
      </c:tx>
      <c:overlay val="0"/>
    </c:title>
    <c:autoTitleDeleted val="0"/>
    <c:plotArea>
      <c:layout/>
      <c:lineChart>
        <c:grouping val="standard"/>
        <c:varyColors val="0"/>
        <c:ser>
          <c:idx val="5"/>
          <c:order val="0"/>
          <c:tx>
            <c:strRef>
              <c:f>'Scénarios prix énergie'!$I$70</c:f>
              <c:strCache>
                <c:ptCount val="1"/>
                <c:pt idx="0">
                  <c:v>Bois</c:v>
                </c:pt>
              </c:strCache>
            </c:strRef>
          </c:tx>
          <c:marker>
            <c:symbol val="none"/>
          </c:marker>
          <c:cat>
            <c:numRef>
              <c:f>'Scénarios prix énergie'!$C$88:$C$103</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'Scénarios prix énergie'!$I$88:$I$103</c:f>
              <c:numCache>
                <c:formatCode>#,##0</c:formatCode>
                <c:ptCount val="16"/>
                <c:pt idx="0" formatCode="General">
                  <c:v>#N/A</c:v>
                </c:pt>
                <c:pt idx="1">
                  <c:v>17</c:v>
                </c:pt>
                <c:pt idx="2">
                  <c:v>17.850000000000001</c:v>
                </c:pt>
                <c:pt idx="3">
                  <c:v>18.742500000000003</c:v>
                </c:pt>
                <c:pt idx="4">
                  <c:v>19.679625000000005</c:v>
                </c:pt>
                <c:pt idx="5">
                  <c:v>20.663606250000004</c:v>
                </c:pt>
                <c:pt idx="6">
                  <c:v>21.696786562500005</c:v>
                </c:pt>
                <c:pt idx="7">
                  <c:v>22.781625890625005</c:v>
                </c:pt>
                <c:pt idx="8">
                  <c:v>23.920707185156257</c:v>
                </c:pt>
                <c:pt idx="9">
                  <c:v>25.11674254441407</c:v>
                </c:pt>
                <c:pt idx="10">
                  <c:v>26.372579671634774</c:v>
                </c:pt>
                <c:pt idx="11">
                  <c:v>27.691208655216514</c:v>
                </c:pt>
                <c:pt idx="12">
                  <c:v>29.075769087977342</c:v>
                </c:pt>
                <c:pt idx="13">
                  <c:v>30.52955754237621</c:v>
                </c:pt>
                <c:pt idx="14">
                  <c:v>32.056035419495025</c:v>
                </c:pt>
                <c:pt idx="15">
                  <c:v>33.658837190469775</c:v>
                </c:pt>
              </c:numCache>
            </c:numRef>
          </c:val>
          <c:smooth val="0"/>
          <c:extLst>
            <c:ext xmlns:c16="http://schemas.microsoft.com/office/drawing/2014/chart" uri="{C3380CC4-5D6E-409C-BE32-E72D297353CC}">
              <c16:uniqueId val="{00000000-0866-4EF1-B987-A981C5AB59E4}"/>
            </c:ext>
          </c:extLst>
        </c:ser>
        <c:ser>
          <c:idx val="6"/>
          <c:order val="1"/>
          <c:tx>
            <c:strRef>
              <c:f>'Scénarios prix énergie'!$J$70</c:f>
              <c:strCache>
                <c:ptCount val="1"/>
                <c:pt idx="0">
                  <c:v>Vapeur</c:v>
                </c:pt>
              </c:strCache>
            </c:strRef>
          </c:tx>
          <c:marker>
            <c:symbol val="none"/>
          </c:marker>
          <c:cat>
            <c:numRef>
              <c:f>'Scénarios prix énergie'!$C$88:$C$103</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'Scénarios prix énergie'!$J$88:$J$103</c:f>
              <c:numCache>
                <c:formatCode>#,##0</c:formatCode>
                <c:ptCount val="16"/>
                <c:pt idx="0" formatCode="General">
                  <c:v>#N/A</c:v>
                </c:pt>
                <c:pt idx="1">
                  <c:v>43.040935672514621</c:v>
                </c:pt>
                <c:pt idx="2">
                  <c:v>45.192982456140356</c:v>
                </c:pt>
                <c:pt idx="3">
                  <c:v>47.452631578947376</c:v>
                </c:pt>
                <c:pt idx="4">
                  <c:v>49.825263157894746</c:v>
                </c:pt>
                <c:pt idx="5">
                  <c:v>52.316526315789488</c:v>
                </c:pt>
                <c:pt idx="6">
                  <c:v>54.932352631578965</c:v>
                </c:pt>
                <c:pt idx="7">
                  <c:v>57.678970263157915</c:v>
                </c:pt>
                <c:pt idx="8">
                  <c:v>60.562918776315811</c:v>
                </c:pt>
                <c:pt idx="9">
                  <c:v>63.591064715131601</c:v>
                </c:pt>
                <c:pt idx="10">
                  <c:v>66.77061795088818</c:v>
                </c:pt>
                <c:pt idx="11">
                  <c:v>70.109148848432596</c:v>
                </c:pt>
                <c:pt idx="12">
                  <c:v>73.614606290854226</c:v>
                </c:pt>
                <c:pt idx="13">
                  <c:v>77.29533660539694</c:v>
                </c:pt>
                <c:pt idx="14">
                  <c:v>81.160103435666784</c:v>
                </c:pt>
                <c:pt idx="15">
                  <c:v>85.218108607450134</c:v>
                </c:pt>
              </c:numCache>
            </c:numRef>
          </c:val>
          <c:smooth val="0"/>
          <c:extLst>
            <c:ext xmlns:c16="http://schemas.microsoft.com/office/drawing/2014/chart" uri="{C3380CC4-5D6E-409C-BE32-E72D297353CC}">
              <c16:uniqueId val="{00000001-0866-4EF1-B987-A981C5AB59E4}"/>
            </c:ext>
          </c:extLst>
        </c:ser>
        <c:ser>
          <c:idx val="7"/>
          <c:order val="2"/>
          <c:tx>
            <c:strRef>
              <c:f>'Scénarios prix énergie'!$K$70</c:f>
              <c:strCache>
                <c:ptCount val="1"/>
                <c:pt idx="0">
                  <c:v>Autre</c:v>
                </c:pt>
              </c:strCache>
            </c:strRef>
          </c:tx>
          <c:marker>
            <c:symbol val="none"/>
          </c:marker>
          <c:cat>
            <c:numRef>
              <c:f>'Scénarios prix énergie'!$C$88:$C$103</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'Scénarios prix énergie'!$K$88:$K$103</c:f>
              <c:numCache>
                <c:formatCode>#,##0</c:formatCode>
                <c:ptCount val="16"/>
                <c:pt idx="0" formatCode="General">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0866-4EF1-B987-A981C5AB59E4}"/>
            </c:ext>
          </c:extLst>
        </c:ser>
        <c:dLbls>
          <c:showLegendKey val="0"/>
          <c:showVal val="0"/>
          <c:showCatName val="0"/>
          <c:showSerName val="0"/>
          <c:showPercent val="0"/>
          <c:showBubbleSize val="0"/>
        </c:dLbls>
        <c:smooth val="0"/>
        <c:axId val="41389056"/>
        <c:axId val="183943168"/>
      </c:lineChart>
      <c:catAx>
        <c:axId val="41389056"/>
        <c:scaling>
          <c:orientation val="minMax"/>
        </c:scaling>
        <c:delete val="0"/>
        <c:axPos val="b"/>
        <c:numFmt formatCode="0" sourceLinked="1"/>
        <c:majorTickMark val="out"/>
        <c:minorTickMark val="none"/>
        <c:tickLblPos val="nextTo"/>
        <c:crossAx val="183943168"/>
        <c:crosses val="autoZero"/>
        <c:auto val="1"/>
        <c:lblAlgn val="ctr"/>
        <c:lblOffset val="100"/>
        <c:noMultiLvlLbl val="0"/>
      </c:catAx>
      <c:valAx>
        <c:axId val="183943168"/>
        <c:scaling>
          <c:orientation val="minMax"/>
        </c:scaling>
        <c:delete val="0"/>
        <c:axPos val="l"/>
        <c:majorGridlines>
          <c:spPr>
            <a:ln>
              <a:solidFill>
                <a:schemeClr val="bg1">
                  <a:lumMod val="75000"/>
                </a:schemeClr>
              </a:solidFill>
            </a:ln>
          </c:spPr>
        </c:majorGridlines>
        <c:numFmt formatCode="#,##0\ &quot;€&quot;" sourceLinked="0"/>
        <c:majorTickMark val="out"/>
        <c:minorTickMark val="none"/>
        <c:tickLblPos val="nextTo"/>
        <c:crossAx val="41389056"/>
        <c:crosses val="autoZero"/>
        <c:crossBetween val="between"/>
      </c:valAx>
    </c:plotArea>
    <c:legend>
      <c:legendPos val="b"/>
      <c:overlay val="0"/>
    </c:legend>
    <c:plotVisOnly val="0"/>
    <c:dispBlanksAs val="gap"/>
    <c:showDLblsOverMax val="0"/>
  </c:chart>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aram&#232;tres et R&#233;sultats'!A2"/></Relationships>
</file>

<file path=xl/drawings/_rels/drawing2.xml.rels><?xml version="1.0" encoding="UTF-8" standalone="yes"?>
<Relationships xmlns="http://schemas.openxmlformats.org/package/2006/relationships"><Relationship Id="rId8" Type="http://schemas.openxmlformats.org/officeDocument/2006/relationships/hyperlink" Target="#'Param&#232;tres et R&#233;sultats'!A19"/><Relationship Id="rId13" Type="http://schemas.openxmlformats.org/officeDocument/2006/relationships/chart" Target="../charts/chart6.xml"/><Relationship Id="rId18" Type="http://schemas.openxmlformats.org/officeDocument/2006/relationships/chart" Target="../charts/chart11.xml"/><Relationship Id="rId26" Type="http://schemas.openxmlformats.org/officeDocument/2006/relationships/chart" Target="../charts/chart18.xml"/><Relationship Id="rId3" Type="http://schemas.openxmlformats.org/officeDocument/2006/relationships/hyperlink" Target="#'Param&#232;tres et R&#233;sultats'!A56:A86"/><Relationship Id="rId21" Type="http://schemas.openxmlformats.org/officeDocument/2006/relationships/chart" Target="../charts/chart13.xml"/><Relationship Id="rId7" Type="http://schemas.openxmlformats.org/officeDocument/2006/relationships/hyperlink" Target="#'A Lire'!A1"/><Relationship Id="rId12" Type="http://schemas.openxmlformats.org/officeDocument/2006/relationships/chart" Target="../charts/chart5.xml"/><Relationship Id="rId17" Type="http://schemas.openxmlformats.org/officeDocument/2006/relationships/chart" Target="../charts/chart10.xml"/><Relationship Id="rId25" Type="http://schemas.openxmlformats.org/officeDocument/2006/relationships/chart" Target="../charts/chart17.xml"/><Relationship Id="rId2" Type="http://schemas.openxmlformats.org/officeDocument/2006/relationships/hyperlink" Target="#'Plan d''actions'!A6"/><Relationship Id="rId16" Type="http://schemas.openxmlformats.org/officeDocument/2006/relationships/chart" Target="../charts/chart9.xml"/><Relationship Id="rId20" Type="http://schemas.openxmlformats.org/officeDocument/2006/relationships/chart" Target="../charts/chart12.xml"/><Relationship Id="rId1" Type="http://schemas.openxmlformats.org/officeDocument/2006/relationships/chart" Target="../charts/chart1.xml"/><Relationship Id="rId6" Type="http://schemas.openxmlformats.org/officeDocument/2006/relationships/hyperlink" Target="#'Plan d''actions'!A1"/><Relationship Id="rId11" Type="http://schemas.openxmlformats.org/officeDocument/2006/relationships/chart" Target="../charts/chart4.xml"/><Relationship Id="rId24" Type="http://schemas.openxmlformats.org/officeDocument/2006/relationships/chart" Target="../charts/chart16.xml"/><Relationship Id="rId5" Type="http://schemas.openxmlformats.org/officeDocument/2006/relationships/hyperlink" Target="#'Sc&#233;narios prix &#233;nergie'!A2"/><Relationship Id="rId15" Type="http://schemas.openxmlformats.org/officeDocument/2006/relationships/chart" Target="../charts/chart8.xml"/><Relationship Id="rId23" Type="http://schemas.openxmlformats.org/officeDocument/2006/relationships/chart" Target="../charts/chart15.xml"/><Relationship Id="rId28" Type="http://schemas.openxmlformats.org/officeDocument/2006/relationships/chart" Target="../charts/chart20.xml"/><Relationship Id="rId10" Type="http://schemas.openxmlformats.org/officeDocument/2006/relationships/chart" Target="../charts/chart3.xml"/><Relationship Id="rId19" Type="http://schemas.openxmlformats.org/officeDocument/2006/relationships/hyperlink" Target="#'Sc&#233;narios prix &#233;nergie'!A67:A110"/><Relationship Id="rId4" Type="http://schemas.openxmlformats.org/officeDocument/2006/relationships/hyperlink" Target="#Conversion!A2"/><Relationship Id="rId9" Type="http://schemas.openxmlformats.org/officeDocument/2006/relationships/chart" Target="../charts/chart2.xml"/><Relationship Id="rId14" Type="http://schemas.openxmlformats.org/officeDocument/2006/relationships/chart" Target="../charts/chart7.xml"/><Relationship Id="rId22" Type="http://schemas.openxmlformats.org/officeDocument/2006/relationships/chart" Target="../charts/chart14.xml"/><Relationship Id="rId27"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3" Type="http://schemas.openxmlformats.org/officeDocument/2006/relationships/hyperlink" Target="#'Param&#232;tres et R&#233;sultats'!A56:A81"/><Relationship Id="rId2" Type="http://schemas.openxmlformats.org/officeDocument/2006/relationships/hyperlink" Target="#'Param&#232;tres et R&#233;sultats'!A19"/><Relationship Id="rId1" Type="http://schemas.openxmlformats.org/officeDocument/2006/relationships/hyperlink" Target="#'Param&#232;tres et R&#233;sultats'!A44:A75"/><Relationship Id="rId4" Type="http://schemas.openxmlformats.org/officeDocument/2006/relationships/hyperlink" Target="#'Archiver plans d''actions'!A1"/></Relationships>
</file>

<file path=xl/drawings/_rels/drawing4.xml.rels><?xml version="1.0" encoding="UTF-8" standalone="yes"?>
<Relationships xmlns="http://schemas.openxmlformats.org/package/2006/relationships"><Relationship Id="rId1" Type="http://schemas.openxmlformats.org/officeDocument/2006/relationships/hyperlink" Target="#'Plan d''actions'!A6"/></Relationships>
</file>

<file path=xl/drawings/_rels/drawing5.xml.rels><?xml version="1.0" encoding="UTF-8" standalone="yes"?>
<Relationships xmlns="http://schemas.openxmlformats.org/package/2006/relationships"><Relationship Id="rId1" Type="http://schemas.openxmlformats.org/officeDocument/2006/relationships/hyperlink" Target="#'Param&#232;tres et R&#233;sultats'!A1"/></Relationships>
</file>

<file path=xl/drawings/_rels/drawing6.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3.xml"/><Relationship Id="rId7" Type="http://schemas.openxmlformats.org/officeDocument/2006/relationships/hyperlink" Target="#'Param&#232;tres et R&#233;sultats'!A37:A55"/><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image" Target="../media/image2.png"/><Relationship Id="rId4" Type="http://schemas.openxmlformats.org/officeDocument/2006/relationships/chart" Target="../charts/chart24.xml"/><Relationship Id="rId9"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12</xdr:col>
      <xdr:colOff>76201</xdr:colOff>
      <xdr:row>0</xdr:row>
      <xdr:rowOff>83820</xdr:rowOff>
    </xdr:from>
    <xdr:to>
      <xdr:col>14</xdr:col>
      <xdr:colOff>137161</xdr:colOff>
      <xdr:row>0</xdr:row>
      <xdr:rowOff>331470</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7962901" y="83820"/>
          <a:ext cx="998220" cy="247650"/>
        </a:xfrm>
        <a:prstGeom prst="homePlate">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Démarrer</a:t>
          </a:r>
        </a:p>
      </xdr:txBody>
    </xdr:sp>
    <xdr:clientData/>
  </xdr:twoCellAnchor>
  <xdr:twoCellAnchor editAs="oneCell">
    <xdr:from>
      <xdr:col>0</xdr:col>
      <xdr:colOff>10585</xdr:colOff>
      <xdr:row>0</xdr:row>
      <xdr:rowOff>95250</xdr:rowOff>
    </xdr:from>
    <xdr:to>
      <xdr:col>3</xdr:col>
      <xdr:colOff>359836</xdr:colOff>
      <xdr:row>2</xdr:row>
      <xdr:rowOff>5059</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585" y="95250"/>
          <a:ext cx="1407584" cy="714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476250</xdr:colOff>
      <xdr:row>38</xdr:row>
      <xdr:rowOff>66675</xdr:rowOff>
    </xdr:from>
    <xdr:to>
      <xdr:col>13</xdr:col>
      <xdr:colOff>409575</xdr:colOff>
      <xdr:row>48</xdr:row>
      <xdr:rowOff>141816</xdr:rowOff>
    </xdr:to>
    <xdr:graphicFrame macro="">
      <xdr:nvGraphicFramePr>
        <xdr:cNvPr id="17" name="Graphique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800099</xdr:colOff>
      <xdr:row>0</xdr:row>
      <xdr:rowOff>76201</xdr:rowOff>
    </xdr:from>
    <xdr:to>
      <xdr:col>10</xdr:col>
      <xdr:colOff>285750</xdr:colOff>
      <xdr:row>0</xdr:row>
      <xdr:rowOff>323851</xdr:rowOff>
    </xdr:to>
    <xdr:sp macro="" textlink="">
      <xdr:nvSpPr>
        <xdr:cNvPr id="46" name="Pentagone 45">
          <a:hlinkClick xmlns:r="http://schemas.openxmlformats.org/officeDocument/2006/relationships" r:id="rId2"/>
          <a:extLst>
            <a:ext uri="{FF2B5EF4-FFF2-40B4-BE49-F238E27FC236}">
              <a16:creationId xmlns:a16="http://schemas.microsoft.com/office/drawing/2014/main" id="{00000000-0008-0000-0100-00002E000000}"/>
            </a:ext>
          </a:extLst>
        </xdr:cNvPr>
        <xdr:cNvSpPr/>
      </xdr:nvSpPr>
      <xdr:spPr>
        <a:xfrm>
          <a:off x="4133849" y="76201"/>
          <a:ext cx="2228851" cy="247650"/>
        </a:xfrm>
        <a:prstGeom prst="homePlate">
          <a:avLst/>
        </a:prstGeom>
        <a:solidFill>
          <a:schemeClr val="accent2"/>
        </a:solidFill>
        <a:ln w="127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Données du plan d'action</a:t>
          </a:r>
        </a:p>
      </xdr:txBody>
    </xdr:sp>
    <xdr:clientData/>
  </xdr:twoCellAnchor>
  <xdr:twoCellAnchor>
    <xdr:from>
      <xdr:col>10</xdr:col>
      <xdr:colOff>409574</xdr:colOff>
      <xdr:row>0</xdr:row>
      <xdr:rowOff>85726</xdr:rowOff>
    </xdr:from>
    <xdr:to>
      <xdr:col>11</xdr:col>
      <xdr:colOff>666749</xdr:colOff>
      <xdr:row>0</xdr:row>
      <xdr:rowOff>333376</xdr:rowOff>
    </xdr:to>
    <xdr:sp macro="" textlink="">
      <xdr:nvSpPr>
        <xdr:cNvPr id="47" name="Pentagone 46">
          <a:hlinkClick xmlns:r="http://schemas.openxmlformats.org/officeDocument/2006/relationships" r:id="rId3"/>
          <a:extLst>
            <a:ext uri="{FF2B5EF4-FFF2-40B4-BE49-F238E27FC236}">
              <a16:creationId xmlns:a16="http://schemas.microsoft.com/office/drawing/2014/main" id="{00000000-0008-0000-0100-00002F000000}"/>
            </a:ext>
          </a:extLst>
        </xdr:cNvPr>
        <xdr:cNvSpPr/>
      </xdr:nvSpPr>
      <xdr:spPr>
        <a:xfrm>
          <a:off x="6486524" y="85726"/>
          <a:ext cx="1171575" cy="247650"/>
        </a:xfrm>
        <a:prstGeom prst="homePlate">
          <a:avLst/>
        </a:prstGeom>
        <a:solidFill>
          <a:schemeClr val="accent3">
            <a:lumMod val="75000"/>
          </a:schemeClr>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Résultats </a:t>
          </a:r>
        </a:p>
      </xdr:txBody>
    </xdr:sp>
    <xdr:clientData/>
  </xdr:twoCellAnchor>
  <xdr:twoCellAnchor>
    <xdr:from>
      <xdr:col>12</xdr:col>
      <xdr:colOff>480060</xdr:colOff>
      <xdr:row>29</xdr:row>
      <xdr:rowOff>128058</xdr:rowOff>
    </xdr:from>
    <xdr:to>
      <xdr:col>14</xdr:col>
      <xdr:colOff>114300</xdr:colOff>
      <xdr:row>32</xdr:row>
      <xdr:rowOff>18837</xdr:rowOff>
    </xdr:to>
    <xdr:sp macro="[0]!Pentagone43_Cliquer" textlink="">
      <xdr:nvSpPr>
        <xdr:cNvPr id="26" name="Pentagone 25">
          <a:hlinkClick xmlns:r="http://schemas.openxmlformats.org/officeDocument/2006/relationships" r:id="rId4"/>
          <a:extLst>
            <a:ext uri="{FF2B5EF4-FFF2-40B4-BE49-F238E27FC236}">
              <a16:creationId xmlns:a16="http://schemas.microsoft.com/office/drawing/2014/main" id="{00000000-0008-0000-0100-00001A000000}"/>
            </a:ext>
          </a:extLst>
        </xdr:cNvPr>
        <xdr:cNvSpPr/>
      </xdr:nvSpPr>
      <xdr:spPr>
        <a:xfrm>
          <a:off x="8385810" y="5100108"/>
          <a:ext cx="1463040" cy="490854"/>
        </a:xfrm>
        <a:prstGeom prst="homePlate">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Convertisseur d'unité</a:t>
          </a:r>
        </a:p>
      </xdr:txBody>
    </xdr:sp>
    <xdr:clientData/>
  </xdr:twoCellAnchor>
  <xdr:twoCellAnchor>
    <xdr:from>
      <xdr:col>12</xdr:col>
      <xdr:colOff>222885</xdr:colOff>
      <xdr:row>45</xdr:row>
      <xdr:rowOff>257176</xdr:rowOff>
    </xdr:from>
    <xdr:to>
      <xdr:col>13</xdr:col>
      <xdr:colOff>742950</xdr:colOff>
      <xdr:row>48</xdr:row>
      <xdr:rowOff>57150</xdr:rowOff>
    </xdr:to>
    <xdr:sp macro="[0]!Pentagone43_Cliquer" textlink="">
      <xdr:nvSpPr>
        <xdr:cNvPr id="27" name="Pentagone 26">
          <a:hlinkClick xmlns:r="http://schemas.openxmlformats.org/officeDocument/2006/relationships" r:id="rId5"/>
          <a:extLst>
            <a:ext uri="{FF2B5EF4-FFF2-40B4-BE49-F238E27FC236}">
              <a16:creationId xmlns:a16="http://schemas.microsoft.com/office/drawing/2014/main" id="{00000000-0008-0000-0100-00001B000000}"/>
            </a:ext>
          </a:extLst>
        </xdr:cNvPr>
        <xdr:cNvSpPr/>
      </xdr:nvSpPr>
      <xdr:spPr>
        <a:xfrm>
          <a:off x="8128635" y="8743951"/>
          <a:ext cx="1434465" cy="485774"/>
        </a:xfrm>
        <a:prstGeom prst="homePlate">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Visualiser</a:t>
          </a:r>
          <a:r>
            <a:rPr lang="fr-FR" sz="1100" b="1" u="sng" baseline="0"/>
            <a:t> t</a:t>
          </a:r>
          <a:r>
            <a:rPr lang="fr-FR" sz="1100" b="1" u="sng"/>
            <a:t>ous les scénarios</a:t>
          </a:r>
        </a:p>
      </xdr:txBody>
    </xdr:sp>
    <xdr:clientData/>
  </xdr:twoCellAnchor>
  <xdr:twoCellAnchor>
    <xdr:from>
      <xdr:col>4</xdr:col>
      <xdr:colOff>257175</xdr:colOff>
      <xdr:row>51</xdr:row>
      <xdr:rowOff>142875</xdr:rowOff>
    </xdr:from>
    <xdr:to>
      <xdr:col>5</xdr:col>
      <xdr:colOff>610658</xdr:colOff>
      <xdr:row>53</xdr:row>
      <xdr:rowOff>152400</xdr:rowOff>
    </xdr:to>
    <xdr:sp macro="[0]!Pentagone43_Cliquer" textlink="">
      <xdr:nvSpPr>
        <xdr:cNvPr id="15" name="Pentagone 14">
          <a:hlinkClick xmlns:r="http://schemas.openxmlformats.org/officeDocument/2006/relationships" r:id="rId6"/>
          <a:extLst>
            <a:ext uri="{FF2B5EF4-FFF2-40B4-BE49-F238E27FC236}">
              <a16:creationId xmlns:a16="http://schemas.microsoft.com/office/drawing/2014/main" id="{00000000-0008-0000-0100-00000F000000}"/>
            </a:ext>
          </a:extLst>
        </xdr:cNvPr>
        <xdr:cNvSpPr/>
      </xdr:nvSpPr>
      <xdr:spPr>
        <a:xfrm>
          <a:off x="714375" y="12458700"/>
          <a:ext cx="1239308" cy="371475"/>
        </a:xfrm>
        <a:prstGeom prst="homePlate">
          <a:avLst/>
        </a:prstGeom>
        <a:solidFill>
          <a:schemeClr val="accent2"/>
        </a:solidFill>
        <a:ln w="12700">
          <a:solidFill>
            <a:schemeClr val="accent2">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u="sng"/>
            <a:t>Plan d'actions</a:t>
          </a:r>
        </a:p>
      </xdr:txBody>
    </xdr:sp>
    <xdr:clientData/>
  </xdr:twoCellAnchor>
  <xdr:twoCellAnchor>
    <xdr:from>
      <xdr:col>1</xdr:col>
      <xdr:colOff>0</xdr:colOff>
      <xdr:row>0</xdr:row>
      <xdr:rowOff>76200</xdr:rowOff>
    </xdr:from>
    <xdr:to>
      <xdr:col>4</xdr:col>
      <xdr:colOff>1104901</xdr:colOff>
      <xdr:row>0</xdr:row>
      <xdr:rowOff>323850</xdr:rowOff>
    </xdr:to>
    <xdr:sp macro="" textlink="">
      <xdr:nvSpPr>
        <xdr:cNvPr id="11" name="Pentagon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rot="10800000" flipV="1">
          <a:off x="114300" y="76200"/>
          <a:ext cx="1504951" cy="247650"/>
        </a:xfrm>
        <a:prstGeom prst="homePlate">
          <a:avLst/>
        </a:prstGeom>
        <a:solidFill>
          <a:schemeClr val="accent4">
            <a:lumMod val="75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FR" sz="1100" b="1" u="sng"/>
            <a:t>Instructions</a:t>
          </a:r>
        </a:p>
      </xdr:txBody>
    </xdr:sp>
    <xdr:clientData/>
  </xdr:twoCellAnchor>
  <xdr:twoCellAnchor>
    <xdr:from>
      <xdr:col>5</xdr:col>
      <xdr:colOff>584200</xdr:colOff>
      <xdr:row>0</xdr:row>
      <xdr:rowOff>67733</xdr:rowOff>
    </xdr:from>
    <xdr:to>
      <xdr:col>7</xdr:col>
      <xdr:colOff>657225</xdr:colOff>
      <xdr:row>0</xdr:row>
      <xdr:rowOff>323851</xdr:rowOff>
    </xdr:to>
    <xdr:sp macro="" textlink="">
      <xdr:nvSpPr>
        <xdr:cNvPr id="12" name="Pentagone 11">
          <a:hlinkClick xmlns:r="http://schemas.openxmlformats.org/officeDocument/2006/relationships" r:id="rId8"/>
          <a:extLst>
            <a:ext uri="{FF2B5EF4-FFF2-40B4-BE49-F238E27FC236}">
              <a16:creationId xmlns:a16="http://schemas.microsoft.com/office/drawing/2014/main" id="{00000000-0008-0000-0100-00000C000000}"/>
            </a:ext>
          </a:extLst>
        </xdr:cNvPr>
        <xdr:cNvSpPr/>
      </xdr:nvSpPr>
      <xdr:spPr>
        <a:xfrm>
          <a:off x="2082800" y="67733"/>
          <a:ext cx="1986492" cy="256118"/>
        </a:xfrm>
        <a:prstGeom prst="homePlate">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Paramètres de la simulation</a:t>
          </a:r>
        </a:p>
      </xdr:txBody>
    </xdr:sp>
    <xdr:clientData/>
  </xdr:twoCellAnchor>
  <xdr:twoCellAnchor>
    <xdr:from>
      <xdr:col>4</xdr:col>
      <xdr:colOff>57150</xdr:colOff>
      <xdr:row>136</xdr:row>
      <xdr:rowOff>147637</xdr:rowOff>
    </xdr:from>
    <xdr:to>
      <xdr:col>9</xdr:col>
      <xdr:colOff>685800</xdr:colOff>
      <xdr:row>153</xdr:row>
      <xdr:rowOff>171450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828675</xdr:colOff>
      <xdr:row>136</xdr:row>
      <xdr:rowOff>142874</xdr:rowOff>
    </xdr:from>
    <xdr:to>
      <xdr:col>15</xdr:col>
      <xdr:colOff>628651</xdr:colOff>
      <xdr:row>153</xdr:row>
      <xdr:rowOff>161924</xdr:rowOff>
    </xdr:to>
    <xdr:graphicFrame macro="">
      <xdr:nvGraphicFramePr>
        <xdr:cNvPr id="16" name="Graphique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838200</xdr:colOff>
      <xdr:row>154</xdr:row>
      <xdr:rowOff>114300</xdr:rowOff>
    </xdr:from>
    <xdr:to>
      <xdr:col>15</xdr:col>
      <xdr:colOff>628650</xdr:colOff>
      <xdr:row>171</xdr:row>
      <xdr:rowOff>133350</xdr:rowOff>
    </xdr:to>
    <xdr:graphicFrame macro="">
      <xdr:nvGraphicFramePr>
        <xdr:cNvPr id="18" name="Graphique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47624</xdr:colOff>
      <xdr:row>154</xdr:row>
      <xdr:rowOff>114300</xdr:rowOff>
    </xdr:from>
    <xdr:to>
      <xdr:col>9</xdr:col>
      <xdr:colOff>676275</xdr:colOff>
      <xdr:row>171</xdr:row>
      <xdr:rowOff>142875</xdr:rowOff>
    </xdr:to>
    <xdr:graphicFrame macro="">
      <xdr:nvGraphicFramePr>
        <xdr:cNvPr id="19" name="Graphique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127636</xdr:colOff>
      <xdr:row>223</xdr:row>
      <xdr:rowOff>133350</xdr:rowOff>
    </xdr:from>
    <xdr:to>
      <xdr:col>9</xdr:col>
      <xdr:colOff>438151</xdr:colOff>
      <xdr:row>241</xdr:row>
      <xdr:rowOff>152400</xdr:rowOff>
    </xdr:to>
    <xdr:graphicFrame macro="">
      <xdr:nvGraphicFramePr>
        <xdr:cNvPr id="20" name="Graphique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68581</xdr:colOff>
      <xdr:row>223</xdr:row>
      <xdr:rowOff>142874</xdr:rowOff>
    </xdr:from>
    <xdr:to>
      <xdr:col>15</xdr:col>
      <xdr:colOff>459105</xdr:colOff>
      <xdr:row>241</xdr:row>
      <xdr:rowOff>152399</xdr:rowOff>
    </xdr:to>
    <xdr:graphicFrame macro="">
      <xdr:nvGraphicFramePr>
        <xdr:cNvPr id="21" name="Graphique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118111</xdr:colOff>
      <xdr:row>202</xdr:row>
      <xdr:rowOff>123825</xdr:rowOff>
    </xdr:from>
    <xdr:to>
      <xdr:col>9</xdr:col>
      <xdr:colOff>428626</xdr:colOff>
      <xdr:row>220</xdr:row>
      <xdr:rowOff>0</xdr:rowOff>
    </xdr:to>
    <xdr:graphicFrame macro="">
      <xdr:nvGraphicFramePr>
        <xdr:cNvPr id="22" name="Graphique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106680</xdr:colOff>
      <xdr:row>202</xdr:row>
      <xdr:rowOff>133349</xdr:rowOff>
    </xdr:from>
    <xdr:to>
      <xdr:col>15</xdr:col>
      <xdr:colOff>459105</xdr:colOff>
      <xdr:row>220</xdr:row>
      <xdr:rowOff>0</xdr:rowOff>
    </xdr:to>
    <xdr:graphicFrame macro="">
      <xdr:nvGraphicFramePr>
        <xdr:cNvPr id="23" name="Graphique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66675</xdr:colOff>
      <xdr:row>174</xdr:row>
      <xdr:rowOff>0</xdr:rowOff>
    </xdr:from>
    <xdr:to>
      <xdr:col>9</xdr:col>
      <xdr:colOff>636058</xdr:colOff>
      <xdr:row>197</xdr:row>
      <xdr:rowOff>0</xdr:rowOff>
    </xdr:to>
    <xdr:graphicFrame macro="">
      <xdr:nvGraphicFramePr>
        <xdr:cNvPr id="28" name="Graphique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876300</xdr:colOff>
      <xdr:row>174</xdr:row>
      <xdr:rowOff>0</xdr:rowOff>
    </xdr:from>
    <xdr:to>
      <xdr:col>15</xdr:col>
      <xdr:colOff>607483</xdr:colOff>
      <xdr:row>197</xdr:row>
      <xdr:rowOff>9525</xdr:rowOff>
    </xdr:to>
    <xdr:graphicFrame macro="">
      <xdr:nvGraphicFramePr>
        <xdr:cNvPr id="29" name="Graphique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247650</xdr:colOff>
      <xdr:row>46</xdr:row>
      <xdr:rowOff>142874</xdr:rowOff>
    </xdr:from>
    <xdr:to>
      <xdr:col>6</xdr:col>
      <xdr:colOff>704850</xdr:colOff>
      <xdr:row>48</xdr:row>
      <xdr:rowOff>85723</xdr:rowOff>
    </xdr:to>
    <xdr:sp macro="[0]!Pentagone43_Cliquer" textlink="">
      <xdr:nvSpPr>
        <xdr:cNvPr id="24" name="Pentagone 23">
          <a:hlinkClick xmlns:r="http://schemas.openxmlformats.org/officeDocument/2006/relationships" r:id="rId19"/>
          <a:extLst>
            <a:ext uri="{FF2B5EF4-FFF2-40B4-BE49-F238E27FC236}">
              <a16:creationId xmlns:a16="http://schemas.microsoft.com/office/drawing/2014/main" id="{00000000-0008-0000-0100-000018000000}"/>
            </a:ext>
          </a:extLst>
        </xdr:cNvPr>
        <xdr:cNvSpPr/>
      </xdr:nvSpPr>
      <xdr:spPr>
        <a:xfrm>
          <a:off x="772583" y="10048874"/>
          <a:ext cx="2413000" cy="298449"/>
        </a:xfrm>
        <a:prstGeom prst="homePlate">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Définir un scénario personnalisé</a:t>
          </a:r>
        </a:p>
      </xdr:txBody>
    </xdr:sp>
    <xdr:clientData/>
  </xdr:twoCellAnchor>
  <xdr:twoCellAnchor>
    <xdr:from>
      <xdr:col>3</xdr:col>
      <xdr:colOff>102977</xdr:colOff>
      <xdr:row>72</xdr:row>
      <xdr:rowOff>59532</xdr:rowOff>
    </xdr:from>
    <xdr:to>
      <xdr:col>9</xdr:col>
      <xdr:colOff>15346</xdr:colOff>
      <xdr:row>90</xdr:row>
      <xdr:rowOff>104775</xdr:rowOff>
    </xdr:to>
    <xdr:graphicFrame macro="">
      <xdr:nvGraphicFramePr>
        <xdr:cNvPr id="35" name="Graphique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102977</xdr:colOff>
      <xdr:row>93</xdr:row>
      <xdr:rowOff>52916</xdr:rowOff>
    </xdr:from>
    <xdr:to>
      <xdr:col>9</xdr:col>
      <xdr:colOff>10583</xdr:colOff>
      <xdr:row>111</xdr:row>
      <xdr:rowOff>105833</xdr:rowOff>
    </xdr:to>
    <xdr:graphicFrame macro="">
      <xdr:nvGraphicFramePr>
        <xdr:cNvPr id="36" name="Graphique 35">
          <a:extLst>
            <a:ext uri="{FF2B5EF4-FFF2-40B4-BE49-F238E27FC236}">
              <a16:creationId xmlns:a16="http://schemas.microsoft.com/office/drawing/2014/main"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127424</xdr:colOff>
      <xdr:row>114</xdr:row>
      <xdr:rowOff>71331</xdr:rowOff>
    </xdr:from>
    <xdr:to>
      <xdr:col>9</xdr:col>
      <xdr:colOff>10584</xdr:colOff>
      <xdr:row>132</xdr:row>
      <xdr:rowOff>84666</xdr:rowOff>
    </xdr:to>
    <xdr:graphicFrame macro="">
      <xdr:nvGraphicFramePr>
        <xdr:cNvPr id="40" name="Graphique 39">
          <a:extLst>
            <a:ext uri="{FF2B5EF4-FFF2-40B4-BE49-F238E27FC236}">
              <a16:creationId xmlns:a16="http://schemas.microsoft.com/office/drawing/2014/main"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355596</xdr:colOff>
      <xdr:row>93</xdr:row>
      <xdr:rowOff>62970</xdr:rowOff>
    </xdr:from>
    <xdr:to>
      <xdr:col>18</xdr:col>
      <xdr:colOff>84666</xdr:colOff>
      <xdr:row>111</xdr:row>
      <xdr:rowOff>105833</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379095</xdr:colOff>
      <xdr:row>72</xdr:row>
      <xdr:rowOff>67521</xdr:rowOff>
    </xdr:from>
    <xdr:to>
      <xdr:col>18</xdr:col>
      <xdr:colOff>95250</xdr:colOff>
      <xdr:row>90</xdr:row>
      <xdr:rowOff>123825</xdr:rowOff>
    </xdr:to>
    <xdr:graphicFrame macro="">
      <xdr:nvGraphicFramePr>
        <xdr:cNvPr id="4" name="Graphique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361949</xdr:colOff>
      <xdr:row>114</xdr:row>
      <xdr:rowOff>92497</xdr:rowOff>
    </xdr:from>
    <xdr:to>
      <xdr:col>18</xdr:col>
      <xdr:colOff>63501</xdr:colOff>
      <xdr:row>132</xdr:row>
      <xdr:rowOff>127000</xdr:rowOff>
    </xdr:to>
    <xdr:graphicFrame macro="">
      <xdr:nvGraphicFramePr>
        <xdr:cNvPr id="5" name="Graphique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105833</xdr:colOff>
      <xdr:row>72</xdr:row>
      <xdr:rowOff>69057</xdr:rowOff>
    </xdr:from>
    <xdr:to>
      <xdr:col>13</xdr:col>
      <xdr:colOff>303475</xdr:colOff>
      <xdr:row>90</xdr:row>
      <xdr:rowOff>114300</xdr:rowOff>
    </xdr:to>
    <xdr:graphicFrame macro="">
      <xdr:nvGraphicFramePr>
        <xdr:cNvPr id="30" name="Graphique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105833</xdr:colOff>
      <xdr:row>93</xdr:row>
      <xdr:rowOff>63500</xdr:rowOff>
    </xdr:from>
    <xdr:to>
      <xdr:col>13</xdr:col>
      <xdr:colOff>303475</xdr:colOff>
      <xdr:row>111</xdr:row>
      <xdr:rowOff>119326</xdr:rowOff>
    </xdr:to>
    <xdr:graphicFrame macro="">
      <xdr:nvGraphicFramePr>
        <xdr:cNvPr id="31" name="Graphique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105833</xdr:colOff>
      <xdr:row>114</xdr:row>
      <xdr:rowOff>84666</xdr:rowOff>
    </xdr:from>
    <xdr:to>
      <xdr:col>13</xdr:col>
      <xdr:colOff>303475</xdr:colOff>
      <xdr:row>132</xdr:row>
      <xdr:rowOff>140492</xdr:rowOff>
    </xdr:to>
    <xdr:graphicFrame macro="">
      <xdr:nvGraphicFramePr>
        <xdr:cNvPr id="32" name="Graphique 31">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114298</xdr:colOff>
      <xdr:row>0</xdr:row>
      <xdr:rowOff>66676</xdr:rowOff>
    </xdr:from>
    <xdr:to>
      <xdr:col>5</xdr:col>
      <xdr:colOff>723899</xdr:colOff>
      <xdr:row>0</xdr:row>
      <xdr:rowOff>314326</xdr:rowOff>
    </xdr:to>
    <xdr:sp macro="" textlink="">
      <xdr:nvSpPr>
        <xdr:cNvPr id="9" name="Pentagone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rot="10800000" flipV="1">
          <a:off x="3562348" y="66676"/>
          <a:ext cx="1504951" cy="247650"/>
        </a:xfrm>
        <a:prstGeom prst="homePlate">
          <a:avLst/>
        </a:prstGeom>
        <a:solidFill>
          <a:schemeClr val="accent4">
            <a:lumMod val="75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FR" sz="1100" b="1" u="sng"/>
            <a:t>Retour</a:t>
          </a:r>
        </a:p>
        <a:p>
          <a:pPr algn="ctr"/>
          <a:r>
            <a:rPr lang="fr-FR" sz="1100" b="1" u="sng"/>
            <a:t>s</a:t>
          </a:r>
        </a:p>
      </xdr:txBody>
    </xdr:sp>
    <xdr:clientData/>
  </xdr:twoCellAnchor>
  <xdr:twoCellAnchor>
    <xdr:from>
      <xdr:col>5</xdr:col>
      <xdr:colOff>828667</xdr:colOff>
      <xdr:row>0</xdr:row>
      <xdr:rowOff>76201</xdr:rowOff>
    </xdr:from>
    <xdr:to>
      <xdr:col>8</xdr:col>
      <xdr:colOff>277278</xdr:colOff>
      <xdr:row>0</xdr:row>
      <xdr:rowOff>323851</xdr:rowOff>
    </xdr:to>
    <xdr:sp macro="" textlink="">
      <xdr:nvSpPr>
        <xdr:cNvPr id="10" name="Pentagone 9">
          <a:hlinkClick xmlns:r="http://schemas.openxmlformats.org/officeDocument/2006/relationships" r:id="rId2"/>
          <a:extLst>
            <a:ext uri="{FF2B5EF4-FFF2-40B4-BE49-F238E27FC236}">
              <a16:creationId xmlns:a16="http://schemas.microsoft.com/office/drawing/2014/main" id="{00000000-0008-0000-0200-00000A000000}"/>
            </a:ext>
          </a:extLst>
        </xdr:cNvPr>
        <xdr:cNvSpPr/>
      </xdr:nvSpPr>
      <xdr:spPr>
        <a:xfrm rot="10800000" flipV="1">
          <a:off x="5172067" y="76201"/>
          <a:ext cx="2134661" cy="247650"/>
        </a:xfrm>
        <a:prstGeom prst="homePlate">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b="1" u="sng">
              <a:solidFill>
                <a:schemeClr val="lt1"/>
              </a:solidFill>
              <a:effectLst/>
              <a:latin typeface="+mn-lt"/>
              <a:ea typeface="+mn-ea"/>
              <a:cs typeface="+mn-cs"/>
            </a:rPr>
            <a:t>Paramètres de</a:t>
          </a:r>
          <a:r>
            <a:rPr lang="fr-FR" sz="1100" b="1" u="sng" baseline="0">
              <a:solidFill>
                <a:schemeClr val="lt1"/>
              </a:solidFill>
              <a:effectLst/>
              <a:latin typeface="+mn-lt"/>
              <a:ea typeface="+mn-ea"/>
              <a:cs typeface="+mn-cs"/>
            </a:rPr>
            <a:t> la simulation</a:t>
          </a:r>
          <a:endParaRPr lang="fr-FR">
            <a:effectLst/>
          </a:endParaRPr>
        </a:p>
      </xdr:txBody>
    </xdr:sp>
    <xdr:clientData/>
  </xdr:twoCellAnchor>
  <xdr:twoCellAnchor>
    <xdr:from>
      <xdr:col>8</xdr:col>
      <xdr:colOff>380998</xdr:colOff>
      <xdr:row>0</xdr:row>
      <xdr:rowOff>76201</xdr:rowOff>
    </xdr:from>
    <xdr:to>
      <xdr:col>10</xdr:col>
      <xdr:colOff>95249</xdr:colOff>
      <xdr:row>0</xdr:row>
      <xdr:rowOff>323851</xdr:rowOff>
    </xdr:to>
    <xdr:sp macro="" textlink="">
      <xdr:nvSpPr>
        <xdr:cNvPr id="11" name="Pentagone 10">
          <a:hlinkClick xmlns:r="http://schemas.openxmlformats.org/officeDocument/2006/relationships" r:id="rId3"/>
          <a:extLst>
            <a:ext uri="{FF2B5EF4-FFF2-40B4-BE49-F238E27FC236}">
              <a16:creationId xmlns:a16="http://schemas.microsoft.com/office/drawing/2014/main" id="{00000000-0008-0000-0200-00000B000000}"/>
            </a:ext>
          </a:extLst>
        </xdr:cNvPr>
        <xdr:cNvSpPr/>
      </xdr:nvSpPr>
      <xdr:spPr>
        <a:xfrm rot="10800000" flipV="1">
          <a:off x="7410448" y="76201"/>
          <a:ext cx="1504951" cy="247650"/>
        </a:xfrm>
        <a:prstGeom prst="homePlate">
          <a:avLst/>
        </a:prstGeom>
        <a:solidFill>
          <a:schemeClr val="accent3">
            <a:lumMod val="75000"/>
          </a:schemeClr>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FR" sz="1100" b="1" u="sng"/>
            <a:t>Résultats</a:t>
          </a:r>
        </a:p>
      </xdr:txBody>
    </xdr:sp>
    <xdr:clientData/>
  </xdr:twoCellAnchor>
  <xdr:twoCellAnchor>
    <xdr:from>
      <xdr:col>1</xdr:col>
      <xdr:colOff>85725</xdr:colOff>
      <xdr:row>28</xdr:row>
      <xdr:rowOff>257175</xdr:rowOff>
    </xdr:from>
    <xdr:to>
      <xdr:col>2</xdr:col>
      <xdr:colOff>2105026</xdr:colOff>
      <xdr:row>28</xdr:row>
      <xdr:rowOff>514350</xdr:rowOff>
    </xdr:to>
    <xdr:sp macro="" textlink="">
      <xdr:nvSpPr>
        <xdr:cNvPr id="8" name="Pentagone 7">
          <a:hlinkClick xmlns:r="http://schemas.openxmlformats.org/officeDocument/2006/relationships" r:id="rId4"/>
          <a:extLst>
            <a:ext uri="{FF2B5EF4-FFF2-40B4-BE49-F238E27FC236}">
              <a16:creationId xmlns:a16="http://schemas.microsoft.com/office/drawing/2014/main" id="{00000000-0008-0000-0200-000008000000}"/>
            </a:ext>
          </a:extLst>
        </xdr:cNvPr>
        <xdr:cNvSpPr/>
      </xdr:nvSpPr>
      <xdr:spPr>
        <a:xfrm>
          <a:off x="152400" y="7734300"/>
          <a:ext cx="2228851" cy="257175"/>
        </a:xfrm>
        <a:prstGeom prst="homePlate">
          <a:avLst/>
        </a:prstGeom>
        <a:solidFill>
          <a:schemeClr val="accent2"/>
        </a:solidFill>
        <a:ln w="127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Plans d'actions archivés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904874</xdr:colOff>
      <xdr:row>0</xdr:row>
      <xdr:rowOff>57150</xdr:rowOff>
    </xdr:from>
    <xdr:to>
      <xdr:col>9</xdr:col>
      <xdr:colOff>361950</xdr:colOff>
      <xdr:row>0</xdr:row>
      <xdr:rowOff>304800</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rot="10800000" flipV="1">
          <a:off x="7362824" y="57150"/>
          <a:ext cx="2228851" cy="247650"/>
        </a:xfrm>
        <a:prstGeom prst="homePlate">
          <a:avLst/>
        </a:prstGeom>
        <a:solidFill>
          <a:schemeClr val="accent2"/>
        </a:solidFill>
        <a:ln w="127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Retour plan d'action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3809</xdr:colOff>
      <xdr:row>0</xdr:row>
      <xdr:rowOff>99060</xdr:rowOff>
    </xdr:from>
    <xdr:to>
      <xdr:col>5</xdr:col>
      <xdr:colOff>161924</xdr:colOff>
      <xdr:row>0</xdr:row>
      <xdr:rowOff>346710</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V="1">
          <a:off x="156209" y="99060"/>
          <a:ext cx="2282190" cy="247650"/>
        </a:xfrm>
        <a:prstGeom prst="homePlate">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Paramètres du plan d'actions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344805</xdr:colOff>
      <xdr:row>26</xdr:row>
      <xdr:rowOff>139065</xdr:rowOff>
    </xdr:from>
    <xdr:to>
      <xdr:col>18</xdr:col>
      <xdr:colOff>116205</xdr:colOff>
      <xdr:row>41</xdr:row>
      <xdr:rowOff>167640</xdr:rowOff>
    </xdr:to>
    <xdr:graphicFrame macro="">
      <xdr:nvGraphicFramePr>
        <xdr:cNvPr id="7" name="Graphique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297180</xdr:colOff>
      <xdr:row>26</xdr:row>
      <xdr:rowOff>120015</xdr:rowOff>
    </xdr:from>
    <xdr:to>
      <xdr:col>9</xdr:col>
      <xdr:colOff>143691</xdr:colOff>
      <xdr:row>41</xdr:row>
      <xdr:rowOff>163830</xdr:rowOff>
    </xdr:to>
    <xdr:graphicFrame macro="">
      <xdr:nvGraphicFramePr>
        <xdr:cNvPr id="8" name="Graphique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278130</xdr:colOff>
      <xdr:row>44</xdr:row>
      <xdr:rowOff>116205</xdr:rowOff>
    </xdr:from>
    <xdr:to>
      <xdr:col>9</xdr:col>
      <xdr:colOff>163830</xdr:colOff>
      <xdr:row>59</xdr:row>
      <xdr:rowOff>131174</xdr:rowOff>
    </xdr:to>
    <xdr:graphicFrame macro="">
      <xdr:nvGraphicFramePr>
        <xdr:cNvPr id="9" name="Graphique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332016</xdr:colOff>
      <xdr:row>44</xdr:row>
      <xdr:rowOff>144780</xdr:rowOff>
    </xdr:from>
    <xdr:to>
      <xdr:col>18</xdr:col>
      <xdr:colOff>67387</xdr:colOff>
      <xdr:row>60</xdr:row>
      <xdr:rowOff>7620</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342900</xdr:colOff>
      <xdr:row>8</xdr:row>
      <xdr:rowOff>131446</xdr:rowOff>
    </xdr:from>
    <xdr:to>
      <xdr:col>18</xdr:col>
      <xdr:colOff>98537</xdr:colOff>
      <xdr:row>23</xdr:row>
      <xdr:rowOff>145598</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327660</xdr:colOff>
      <xdr:row>8</xdr:row>
      <xdr:rowOff>131446</xdr:rowOff>
    </xdr:from>
    <xdr:to>
      <xdr:col>9</xdr:col>
      <xdr:colOff>213360</xdr:colOff>
      <xdr:row>23</xdr:row>
      <xdr:rowOff>153217</xdr:rowOff>
    </xdr:to>
    <xdr:graphicFrame macro="">
      <xdr:nvGraphicFramePr>
        <xdr:cNvPr id="12" name="Graphique 11">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198119</xdr:colOff>
      <xdr:row>0</xdr:row>
      <xdr:rowOff>76200</xdr:rowOff>
    </xdr:from>
    <xdr:to>
      <xdr:col>4</xdr:col>
      <xdr:colOff>561974</xdr:colOff>
      <xdr:row>0</xdr:row>
      <xdr:rowOff>323850</xdr:rowOff>
    </xdr:to>
    <xdr:sp macro="" textlink="">
      <xdr:nvSpPr>
        <xdr:cNvPr id="13" name="Pentagone 12">
          <a:hlinkClick xmlns:r="http://schemas.openxmlformats.org/officeDocument/2006/relationships" r:id="rId7"/>
          <a:extLst>
            <a:ext uri="{FF2B5EF4-FFF2-40B4-BE49-F238E27FC236}">
              <a16:creationId xmlns:a16="http://schemas.microsoft.com/office/drawing/2014/main" id="{00000000-0008-0000-0500-00000D000000}"/>
            </a:ext>
          </a:extLst>
        </xdr:cNvPr>
        <xdr:cNvSpPr/>
      </xdr:nvSpPr>
      <xdr:spPr>
        <a:xfrm rot="10800000" flipV="1">
          <a:off x="369569" y="76200"/>
          <a:ext cx="2345055" cy="247650"/>
        </a:xfrm>
        <a:prstGeom prst="homePlate">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t>Paramètres du plan d'actions</a:t>
          </a:r>
        </a:p>
      </xdr:txBody>
    </xdr:sp>
    <xdr:clientData/>
  </xdr:twoCellAnchor>
  <xdr:twoCellAnchor>
    <xdr:from>
      <xdr:col>1</xdr:col>
      <xdr:colOff>142875</xdr:colOff>
      <xdr:row>108</xdr:row>
      <xdr:rowOff>95250</xdr:rowOff>
    </xdr:from>
    <xdr:to>
      <xdr:col>8</xdr:col>
      <xdr:colOff>161925</xdr:colOff>
      <xdr:row>130</xdr:row>
      <xdr:rowOff>38100</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266701</xdr:colOff>
      <xdr:row>108</xdr:row>
      <xdr:rowOff>95249</xdr:rowOff>
    </xdr:from>
    <xdr:to>
      <xdr:col>12</xdr:col>
      <xdr:colOff>609600</xdr:colOff>
      <xdr:row>130</xdr:row>
      <xdr:rowOff>28575</xdr:rowOff>
    </xdr:to>
    <xdr:graphicFrame macro="">
      <xdr:nvGraphicFramePr>
        <xdr:cNvPr id="15" name="Graphique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619125</xdr:colOff>
      <xdr:row>230</xdr:row>
      <xdr:rowOff>107157</xdr:rowOff>
    </xdr:from>
    <xdr:to>
      <xdr:col>15</xdr:col>
      <xdr:colOff>649618</xdr:colOff>
      <xdr:row>1048576</xdr:row>
      <xdr:rowOff>2345531</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0"/>
        <a:stretch>
          <a:fillRect/>
        </a:stretch>
      </xdr:blipFill>
      <xdr:spPr>
        <a:xfrm>
          <a:off x="8012906" y="40957501"/>
          <a:ext cx="3721431" cy="2345531"/>
        </a:xfrm>
        <a:prstGeom prst="rect">
          <a:avLst/>
        </a:prstGeom>
      </xdr:spPr>
    </xdr:pic>
    <xdr:clientData/>
  </xdr:twoCellAnchor>
</xdr:wsDr>
</file>

<file path=xl/theme/theme1.xml><?xml version="1.0" encoding="utf-8"?>
<a:theme xmlns:a="http://schemas.openxmlformats.org/drawingml/2006/main" name="Constrasté">
  <a:themeElements>
    <a:clrScheme name="Personnalisé 1">
      <a:dk1>
        <a:sysClr val="windowText" lastClr="000000"/>
      </a:dk1>
      <a:lt1>
        <a:sysClr val="window" lastClr="FFFFFF"/>
      </a:lt1>
      <a:dk2>
        <a:srgbClr val="1F497D"/>
      </a:dk2>
      <a:lt2>
        <a:srgbClr val="EEECE1"/>
      </a:lt2>
      <a:accent1>
        <a:srgbClr val="00B0F0"/>
      </a:accent1>
      <a:accent2>
        <a:srgbClr val="E83030"/>
      </a:accent2>
      <a:accent3>
        <a:srgbClr val="FF962D"/>
      </a:accent3>
      <a:accent4>
        <a:srgbClr val="92D050"/>
      </a:accent4>
      <a:accent5>
        <a:srgbClr val="4BACC6"/>
      </a:accent5>
      <a:accent6>
        <a:srgbClr val="CC00D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nergies-davenir.com/bibliotheque-ea/production_energie_reseau_alimentation/bilan_carbone_guide_facteurs_emissions_V5.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O13"/>
  <sheetViews>
    <sheetView showGridLines="0" showRowColHeaders="0" zoomScaleNormal="100" workbookViewId="0">
      <selection activeCell="H8" sqref="H8"/>
    </sheetView>
  </sheetViews>
  <sheetFormatPr baseColWidth="10" defaultColWidth="0" defaultRowHeight="14.5" zeroHeight="1" x14ac:dyDescent="0.35"/>
  <cols>
    <col min="1" max="1" width="2.26953125" customWidth="1"/>
    <col min="2" max="2" width="2.7265625" customWidth="1"/>
    <col min="3" max="13" width="11" customWidth="1"/>
    <col min="14" max="14" width="2.7265625" customWidth="1"/>
    <col min="15" max="15" width="2.54296875" customWidth="1"/>
    <col min="16" max="16384" width="11.453125" hidden="1"/>
  </cols>
  <sheetData>
    <row r="1" spans="1:15" ht="31.15" customHeight="1" x14ac:dyDescent="0.35">
      <c r="B1" s="79"/>
      <c r="C1" s="79"/>
      <c r="D1" s="79"/>
      <c r="E1" s="79"/>
      <c r="F1" s="79"/>
      <c r="G1" s="79"/>
      <c r="H1" s="79"/>
      <c r="I1" s="79"/>
      <c r="J1" s="79"/>
      <c r="K1" s="79"/>
      <c r="L1" s="79"/>
      <c r="M1" s="79"/>
      <c r="N1" s="79"/>
      <c r="O1" s="79"/>
    </row>
    <row r="2" spans="1:15" s="534" customFormat="1" ht="32.25" customHeight="1" x14ac:dyDescent="0.35">
      <c r="A2" s="637"/>
      <c r="B2" s="637"/>
      <c r="C2" s="637"/>
      <c r="D2" s="637"/>
      <c r="E2" s="637" t="s">
        <v>385</v>
      </c>
      <c r="F2" s="637"/>
      <c r="G2" s="637"/>
      <c r="H2" s="637"/>
      <c r="I2" s="637"/>
      <c r="J2" s="637"/>
      <c r="K2" s="637"/>
      <c r="L2" s="637"/>
      <c r="M2" s="637"/>
      <c r="N2" s="637"/>
      <c r="O2" s="637"/>
    </row>
    <row r="3" spans="1:15" x14ac:dyDescent="0.35">
      <c r="A3" s="79"/>
      <c r="B3" s="79"/>
      <c r="C3" s="79"/>
      <c r="D3" s="79"/>
      <c r="E3" s="79"/>
      <c r="F3" s="79"/>
      <c r="G3" s="79"/>
      <c r="H3" s="79"/>
      <c r="I3" s="79"/>
      <c r="J3" s="79"/>
      <c r="K3" s="79"/>
      <c r="L3" s="79"/>
      <c r="M3" s="79"/>
      <c r="N3" s="79"/>
      <c r="O3" s="79"/>
    </row>
    <row r="4" spans="1:15" s="23" customFormat="1" ht="7.9" customHeight="1" x14ac:dyDescent="0.35">
      <c r="A4" s="79"/>
      <c r="B4" s="638"/>
      <c r="C4" s="639"/>
      <c r="D4" s="639"/>
      <c r="E4" s="639"/>
      <c r="F4" s="639"/>
      <c r="G4" s="639"/>
      <c r="H4" s="639"/>
      <c r="I4" s="639"/>
      <c r="J4" s="639"/>
      <c r="K4" s="639"/>
      <c r="L4" s="639"/>
      <c r="M4" s="639"/>
      <c r="N4" s="640"/>
      <c r="O4" s="79"/>
    </row>
    <row r="5" spans="1:15" ht="15.5" x14ac:dyDescent="0.35">
      <c r="A5" s="79"/>
      <c r="B5" s="641"/>
      <c r="C5" s="650" t="s">
        <v>217</v>
      </c>
      <c r="D5" s="114"/>
      <c r="E5" s="114"/>
      <c r="F5" s="114"/>
      <c r="G5" s="114"/>
      <c r="H5" s="114"/>
      <c r="I5" s="114"/>
      <c r="J5" s="114"/>
      <c r="K5" s="114"/>
      <c r="L5" s="114"/>
      <c r="M5" s="114"/>
      <c r="N5" s="642"/>
      <c r="O5" s="79"/>
    </row>
    <row r="6" spans="1:15" s="23" customFormat="1" ht="135" customHeight="1" x14ac:dyDescent="0.35">
      <c r="A6" s="79"/>
      <c r="B6" s="641"/>
      <c r="C6" s="765" t="s">
        <v>386</v>
      </c>
      <c r="D6" s="766"/>
      <c r="E6" s="766"/>
      <c r="F6" s="766"/>
      <c r="G6" s="766"/>
      <c r="H6" s="766"/>
      <c r="I6" s="766"/>
      <c r="J6" s="766"/>
      <c r="K6" s="766"/>
      <c r="L6" s="766"/>
      <c r="M6" s="766"/>
      <c r="N6" s="642"/>
      <c r="O6" s="79"/>
    </row>
    <row r="7" spans="1:15" ht="6.75" customHeight="1" x14ac:dyDescent="0.35">
      <c r="A7" s="51"/>
      <c r="B7" s="643"/>
      <c r="C7" s="644"/>
      <c r="D7" s="644"/>
      <c r="E7" s="644"/>
      <c r="F7" s="644"/>
      <c r="G7" s="644"/>
      <c r="H7" s="644"/>
      <c r="I7" s="644"/>
      <c r="J7" s="644"/>
      <c r="K7" s="644"/>
      <c r="L7" s="644"/>
      <c r="M7" s="644"/>
      <c r="N7" s="645"/>
      <c r="O7" s="79"/>
    </row>
    <row r="8" spans="1:15" x14ac:dyDescent="0.35">
      <c r="A8" s="51"/>
      <c r="B8" s="51"/>
      <c r="C8" s="51"/>
      <c r="D8" s="51"/>
      <c r="E8" s="51"/>
      <c r="F8" s="51"/>
      <c r="G8" s="51"/>
      <c r="H8" s="51"/>
      <c r="I8" s="51"/>
      <c r="J8" s="51"/>
      <c r="K8" s="51"/>
      <c r="L8" s="51"/>
      <c r="M8" s="51"/>
      <c r="N8" s="51"/>
      <c r="O8" s="79"/>
    </row>
    <row r="9" spans="1:15" s="23" customFormat="1" ht="7.9" customHeight="1" x14ac:dyDescent="0.35">
      <c r="A9" s="79"/>
      <c r="B9" s="638"/>
      <c r="C9" s="639"/>
      <c r="D9" s="639"/>
      <c r="E9" s="639"/>
      <c r="F9" s="639"/>
      <c r="G9" s="639"/>
      <c r="H9" s="639"/>
      <c r="I9" s="639"/>
      <c r="J9" s="639"/>
      <c r="K9" s="639"/>
      <c r="L9" s="639"/>
      <c r="M9" s="639"/>
      <c r="N9" s="640"/>
      <c r="O9" s="79"/>
    </row>
    <row r="10" spans="1:15" ht="15.5" x14ac:dyDescent="0.35">
      <c r="A10" s="51"/>
      <c r="B10" s="646"/>
      <c r="C10" s="650" t="s">
        <v>218</v>
      </c>
      <c r="D10" s="428"/>
      <c r="E10" s="428"/>
      <c r="F10" s="428"/>
      <c r="G10" s="428"/>
      <c r="H10" s="428"/>
      <c r="I10" s="428"/>
      <c r="J10" s="428"/>
      <c r="K10" s="428"/>
      <c r="L10" s="428"/>
      <c r="M10" s="428"/>
      <c r="N10" s="647"/>
      <c r="O10" s="79"/>
    </row>
    <row r="11" spans="1:15" s="23" customFormat="1" ht="157.5" customHeight="1" x14ac:dyDescent="0.35">
      <c r="A11" s="79"/>
      <c r="B11" s="648"/>
      <c r="C11" s="765" t="s">
        <v>387</v>
      </c>
      <c r="D11" s="766"/>
      <c r="E11" s="766"/>
      <c r="F11" s="766"/>
      <c r="G11" s="766"/>
      <c r="H11" s="766"/>
      <c r="I11" s="766"/>
      <c r="J11" s="766"/>
      <c r="K11" s="766"/>
      <c r="L11" s="766"/>
      <c r="M11" s="766"/>
      <c r="N11" s="649"/>
      <c r="O11" s="79"/>
    </row>
    <row r="12" spans="1:15" s="23" customFormat="1" ht="6.75" customHeight="1" x14ac:dyDescent="0.35">
      <c r="A12" s="51"/>
      <c r="B12" s="643"/>
      <c r="C12" s="644"/>
      <c r="D12" s="644"/>
      <c r="E12" s="644"/>
      <c r="F12" s="644"/>
      <c r="G12" s="644"/>
      <c r="H12" s="644"/>
      <c r="I12" s="644"/>
      <c r="J12" s="644"/>
      <c r="K12" s="644"/>
      <c r="L12" s="644"/>
      <c r="M12" s="644"/>
      <c r="N12" s="645"/>
      <c r="O12" s="79"/>
    </row>
    <row r="13" spans="1:15" x14ac:dyDescent="0.35">
      <c r="A13" s="51"/>
      <c r="B13" s="51"/>
      <c r="C13" s="51"/>
      <c r="D13" s="51"/>
      <c r="E13" s="51"/>
      <c r="F13" s="51"/>
      <c r="G13" s="51"/>
      <c r="H13" s="51"/>
      <c r="I13" s="51"/>
      <c r="J13" s="51"/>
      <c r="K13" s="51"/>
      <c r="L13" s="51"/>
      <c r="M13" s="51"/>
      <c r="N13" s="51"/>
      <c r="O13" s="79"/>
    </row>
  </sheetData>
  <sheetProtection sheet="1" objects="1" scenarios="1"/>
  <mergeCells count="2">
    <mergeCell ref="C6:M6"/>
    <mergeCell ref="C11: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9">
    <tabColor theme="4"/>
    <pageSetUpPr fitToPage="1"/>
  </sheetPr>
  <dimension ref="A1:CG567"/>
  <sheetViews>
    <sheetView showGridLines="0" tabSelected="1" zoomScale="90" zoomScaleNormal="90" zoomScaleSheetLayoutView="90" workbookViewId="0">
      <pane ySplit="1" topLeftCell="A2" activePane="bottomLeft" state="frozen"/>
      <selection pane="bottomLeft" activeCell="K14" sqref="K14"/>
    </sheetView>
  </sheetViews>
  <sheetFormatPr baseColWidth="10" defaultColWidth="0" defaultRowHeight="14" zeroHeight="1" x14ac:dyDescent="0.3"/>
  <cols>
    <col min="1" max="1" width="1" style="38" customWidth="1"/>
    <col min="2" max="2" width="0.81640625" style="36" customWidth="1"/>
    <col min="3" max="3" width="2" style="36" customWidth="1"/>
    <col min="4" max="4" width="3" style="36" bestFit="1" customWidth="1"/>
    <col min="5" max="18" width="13.26953125" style="36" customWidth="1"/>
    <col min="19" max="19" width="4" style="36" customWidth="1"/>
    <col min="20" max="20" width="2.26953125" style="37" customWidth="1"/>
    <col min="21" max="21" width="13.26953125" style="37" hidden="1" customWidth="1"/>
    <col min="22" max="22" width="13.54296875" style="37" hidden="1" customWidth="1"/>
    <col min="23" max="26" width="13.26953125" style="37" hidden="1" customWidth="1"/>
    <col min="27" max="28" width="13.26953125" style="118" hidden="1" customWidth="1"/>
    <col min="29" max="29" width="14.1796875" style="118" hidden="1" customWidth="1"/>
    <col min="30" max="30" width="16.26953125" style="118" hidden="1" customWidth="1"/>
    <col min="31" max="32" width="12.7265625" style="118" hidden="1" customWidth="1"/>
    <col min="33" max="33" width="13.26953125" style="118" hidden="1" customWidth="1"/>
    <col min="34" max="34" width="12.26953125" style="118" hidden="1" customWidth="1"/>
    <col min="35" max="35" width="11.54296875" style="118" hidden="1" customWidth="1"/>
    <col min="36" max="36" width="12.453125" style="118" hidden="1" customWidth="1"/>
    <col min="37" max="37" width="11.54296875" style="118" hidden="1" customWidth="1"/>
    <col min="38" max="38" width="12.453125" style="118" hidden="1" customWidth="1"/>
    <col min="39" max="45" width="11.54296875" style="118" hidden="1" customWidth="1"/>
    <col min="46" max="46" width="12.54296875" style="118" hidden="1" customWidth="1"/>
    <col min="47" max="47" width="13" style="118" hidden="1" customWidth="1"/>
    <col min="48" max="48" width="12.54296875" style="118" hidden="1" customWidth="1"/>
    <col min="49" max="49" width="12.81640625" style="118" hidden="1" customWidth="1"/>
    <col min="50" max="50" width="12.7265625" style="118" hidden="1" customWidth="1"/>
    <col min="51" max="51" width="12.54296875" style="118" hidden="1" customWidth="1"/>
    <col min="52" max="52" width="14.453125" style="118" hidden="1" customWidth="1"/>
    <col min="53" max="54" width="12.7265625" style="118" hidden="1" customWidth="1"/>
    <col min="55" max="55" width="12" style="118" hidden="1" customWidth="1"/>
    <col min="56" max="56" width="12.26953125" style="118" hidden="1" customWidth="1"/>
    <col min="57" max="57" width="12.453125" style="118" hidden="1" customWidth="1"/>
    <col min="58" max="76" width="11.54296875" style="118" hidden="1" customWidth="1"/>
    <col min="77" max="82" width="13.26953125" style="118" hidden="1" customWidth="1"/>
    <col min="83" max="83" width="13.54296875" style="118" hidden="1" customWidth="1"/>
    <col min="84" max="84" width="13.26953125" style="118" hidden="1" customWidth="1"/>
    <col min="85" max="85" width="11.453125" style="118" hidden="1" customWidth="1"/>
    <col min="86" max="16384" width="11.453125" style="38" hidden="1"/>
  </cols>
  <sheetData>
    <row r="1" spans="1:85" ht="31.5" customHeight="1" x14ac:dyDescent="0.3">
      <c r="T1" s="36"/>
      <c r="U1" s="36"/>
      <c r="V1" s="36"/>
      <c r="W1" s="36"/>
      <c r="X1" s="36"/>
      <c r="Y1" s="36"/>
      <c r="Z1" s="36"/>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row>
    <row r="2" spans="1:85" ht="13.9" customHeight="1" x14ac:dyDescent="0.3">
      <c r="T2" s="36"/>
      <c r="U2" s="36"/>
      <c r="V2" s="36"/>
      <c r="W2" s="36"/>
      <c r="X2" s="36"/>
      <c r="Y2" s="36"/>
      <c r="Z2" s="36"/>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row>
    <row r="3" spans="1:85" s="118" customFormat="1" ht="31.5" thickBot="1" x14ac:dyDescent="0.75">
      <c r="A3" s="37"/>
      <c r="B3" s="773" t="s">
        <v>326</v>
      </c>
      <c r="C3" s="774"/>
      <c r="D3" s="774"/>
      <c r="E3" s="774"/>
      <c r="F3" s="774"/>
      <c r="G3" s="774"/>
      <c r="H3" s="774"/>
      <c r="I3" s="774"/>
      <c r="J3" s="774"/>
      <c r="K3" s="774"/>
      <c r="L3" s="774"/>
      <c r="M3" s="774"/>
      <c r="N3" s="774"/>
      <c r="O3" s="774"/>
      <c r="P3" s="774"/>
      <c r="Q3" s="774"/>
      <c r="R3" s="774"/>
      <c r="S3" s="775"/>
      <c r="T3" s="146"/>
      <c r="U3" s="146"/>
      <c r="V3" s="146"/>
      <c r="W3" s="146"/>
      <c r="X3" s="146"/>
      <c r="Y3" s="146"/>
      <c r="Z3" s="146"/>
      <c r="AA3" s="152"/>
      <c r="AB3" s="152"/>
      <c r="AC3" s="152"/>
      <c r="AD3" s="152"/>
      <c r="AE3" s="152"/>
      <c r="AF3" s="152"/>
      <c r="AG3" s="152"/>
      <c r="AH3" s="152"/>
      <c r="AI3" s="152"/>
      <c r="AJ3" s="152"/>
      <c r="AK3" s="152"/>
      <c r="AL3" s="152"/>
      <c r="AM3" s="152"/>
      <c r="AN3" s="152"/>
      <c r="AO3" s="152"/>
      <c r="AP3" s="152"/>
      <c r="AQ3" s="152"/>
      <c r="AR3" s="152"/>
      <c r="AS3" s="152"/>
      <c r="AT3" s="152"/>
      <c r="AU3" s="152"/>
    </row>
    <row r="4" spans="1:85" s="118" customFormat="1" ht="7.5" customHeight="1" thickTop="1" x14ac:dyDescent="0.3">
      <c r="A4" s="37"/>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52"/>
      <c r="AB4" s="152"/>
      <c r="AC4" s="152"/>
      <c r="AD4" s="152"/>
      <c r="AE4" s="152"/>
      <c r="AF4" s="152"/>
      <c r="AG4" s="152"/>
      <c r="AH4" s="152"/>
      <c r="AI4" s="152"/>
      <c r="AJ4" s="152"/>
      <c r="AK4" s="152"/>
      <c r="AL4" s="152"/>
      <c r="AM4" s="152"/>
      <c r="AN4" s="152"/>
      <c r="AO4" s="152"/>
      <c r="AP4" s="152"/>
      <c r="AQ4" s="152"/>
      <c r="AR4" s="152"/>
      <c r="AS4" s="152"/>
      <c r="AT4" s="152"/>
      <c r="AU4" s="152"/>
    </row>
    <row r="5" spans="1:85" s="118" customFormat="1" x14ac:dyDescent="0.3">
      <c r="A5" s="37"/>
      <c r="B5" s="146"/>
      <c r="C5" s="146"/>
      <c r="D5" s="146"/>
      <c r="E5" s="110" t="s">
        <v>219</v>
      </c>
      <c r="F5" s="110"/>
      <c r="G5" s="146"/>
      <c r="H5" s="146"/>
      <c r="I5" s="146"/>
      <c r="J5" s="146"/>
      <c r="K5" s="146"/>
      <c r="L5" s="146"/>
      <c r="M5" s="146"/>
      <c r="N5" s="146"/>
      <c r="O5" s="146"/>
      <c r="P5" s="146"/>
      <c r="Q5" s="146"/>
      <c r="R5" s="146"/>
      <c r="S5" s="146"/>
      <c r="T5" s="146"/>
      <c r="U5" s="146"/>
      <c r="V5" s="146"/>
      <c r="W5" s="146"/>
      <c r="X5" s="146"/>
      <c r="Y5" s="146"/>
      <c r="Z5" s="146"/>
      <c r="AA5" s="152"/>
      <c r="AB5" s="152"/>
      <c r="AC5" s="152"/>
      <c r="AD5" s="152"/>
      <c r="AE5" s="152"/>
      <c r="AF5" s="152"/>
      <c r="AG5" s="152"/>
      <c r="AH5" s="152"/>
      <c r="AI5" s="152"/>
      <c r="AJ5" s="152"/>
      <c r="AK5" s="152"/>
      <c r="AL5" s="152"/>
      <c r="AM5" s="152"/>
      <c r="AN5" s="152"/>
      <c r="AO5" s="152"/>
      <c r="AP5" s="152"/>
      <c r="AQ5" s="152"/>
      <c r="AR5" s="152"/>
      <c r="AS5" s="152"/>
      <c r="AT5" s="152"/>
      <c r="AU5" s="152"/>
    </row>
    <row r="6" spans="1:85" s="118" customFormat="1" x14ac:dyDescent="0.3">
      <c r="A6" s="37"/>
      <c r="B6" s="146"/>
      <c r="C6" s="146"/>
      <c r="D6" s="146"/>
      <c r="E6" s="151"/>
      <c r="F6" s="457" t="s">
        <v>361</v>
      </c>
      <c r="H6" s="146"/>
      <c r="I6" s="146"/>
      <c r="J6" s="146"/>
      <c r="K6" s="146"/>
      <c r="L6" s="146"/>
      <c r="M6" s="146"/>
      <c r="N6" s="146"/>
      <c r="O6" s="146"/>
      <c r="P6" s="146"/>
      <c r="Q6" s="146"/>
      <c r="R6" s="146"/>
      <c r="S6" s="146"/>
      <c r="T6" s="146"/>
      <c r="U6" s="146"/>
      <c r="V6" s="146"/>
      <c r="W6" s="146"/>
      <c r="X6" s="146"/>
      <c r="Y6" s="146"/>
      <c r="Z6" s="146"/>
      <c r="AA6" s="152"/>
      <c r="AB6" s="152"/>
      <c r="AC6" s="152"/>
      <c r="AD6" s="152"/>
      <c r="AE6" s="152"/>
      <c r="AF6" s="152"/>
      <c r="AG6" s="152"/>
      <c r="AH6" s="152"/>
      <c r="AI6" s="152"/>
      <c r="AJ6" s="152"/>
      <c r="AK6" s="152"/>
      <c r="AL6" s="152"/>
      <c r="AM6" s="152"/>
      <c r="AN6" s="152"/>
      <c r="AO6" s="152"/>
      <c r="AP6" s="152"/>
      <c r="AQ6" s="152"/>
      <c r="AR6" s="152"/>
      <c r="AS6" s="152"/>
      <c r="AT6" s="152"/>
      <c r="AU6" s="152"/>
    </row>
    <row r="7" spans="1:85" s="118" customFormat="1" ht="5.25" customHeight="1" x14ac:dyDescent="0.3">
      <c r="A7" s="37"/>
      <c r="B7" s="146"/>
      <c r="C7" s="146"/>
      <c r="D7" s="39"/>
      <c r="O7" s="146"/>
      <c r="P7" s="146"/>
      <c r="Q7" s="146"/>
      <c r="R7" s="146"/>
      <c r="S7" s="146"/>
      <c r="T7" s="146"/>
      <c r="U7" s="146"/>
      <c r="V7" s="146"/>
      <c r="W7" s="146"/>
      <c r="X7" s="146"/>
      <c r="Y7" s="146"/>
      <c r="Z7" s="146"/>
      <c r="AA7" s="152"/>
      <c r="AB7" s="152"/>
      <c r="AC7" s="152"/>
      <c r="AD7" s="152"/>
      <c r="AE7" s="152"/>
      <c r="AF7" s="152"/>
      <c r="AG7" s="152"/>
      <c r="AH7" s="152"/>
      <c r="AI7" s="152"/>
      <c r="AJ7" s="152"/>
      <c r="AK7" s="152"/>
      <c r="AL7" s="152"/>
      <c r="AM7" s="152"/>
      <c r="AN7" s="152"/>
      <c r="AO7" s="152"/>
      <c r="AP7" s="152"/>
      <c r="AQ7" s="152"/>
      <c r="AR7" s="152"/>
      <c r="AS7" s="152"/>
      <c r="AT7" s="152"/>
      <c r="AU7" s="152"/>
    </row>
    <row r="8" spans="1:85" s="118" customFormat="1" ht="16.5" x14ac:dyDescent="0.35">
      <c r="A8" s="37"/>
      <c r="B8" s="146"/>
      <c r="C8" s="146"/>
      <c r="D8" s="344"/>
      <c r="E8" s="345" t="s">
        <v>376</v>
      </c>
      <c r="F8" s="345"/>
      <c r="G8" s="345"/>
      <c r="H8" s="345"/>
      <c r="I8" s="347"/>
      <c r="O8" s="146"/>
      <c r="P8" s="146"/>
      <c r="Q8" s="146"/>
      <c r="R8" s="146"/>
      <c r="S8" s="146"/>
      <c r="T8" s="146"/>
      <c r="U8" s="146"/>
      <c r="V8" s="146"/>
      <c r="W8" s="146"/>
      <c r="X8" s="146"/>
      <c r="Y8" s="146"/>
      <c r="Z8" s="146"/>
      <c r="AA8" s="152"/>
      <c r="AB8" s="152"/>
      <c r="AC8" s="152"/>
      <c r="AD8" s="152"/>
      <c r="AE8" s="152"/>
      <c r="AF8" s="152"/>
      <c r="AG8" s="152"/>
      <c r="AH8" s="152"/>
      <c r="AI8" s="152"/>
      <c r="AJ8" s="152"/>
      <c r="AK8" s="152"/>
      <c r="AL8" s="152"/>
      <c r="AM8" s="152"/>
      <c r="AN8" s="152"/>
      <c r="AO8" s="152"/>
      <c r="AP8" s="152"/>
      <c r="AQ8" s="152"/>
      <c r="AR8" s="152"/>
      <c r="AS8" s="152"/>
      <c r="AT8" s="152"/>
      <c r="AU8" s="152"/>
    </row>
    <row r="9" spans="1:85" s="118" customFormat="1" ht="9.75" customHeight="1" x14ac:dyDescent="0.3">
      <c r="A9" s="37"/>
      <c r="B9" s="146"/>
      <c r="C9" s="146"/>
      <c r="D9" s="335"/>
      <c r="E9" s="310"/>
      <c r="F9" s="310"/>
      <c r="G9" s="310"/>
      <c r="H9" s="310"/>
      <c r="I9" s="336"/>
      <c r="J9" s="430"/>
      <c r="K9" s="39"/>
      <c r="L9" s="432"/>
      <c r="M9" s="431"/>
      <c r="N9" s="39"/>
      <c r="O9" s="433"/>
      <c r="P9" s="146"/>
      <c r="Q9" s="146"/>
      <c r="R9" s="146"/>
      <c r="S9" s="146"/>
      <c r="T9" s="146"/>
      <c r="U9" s="146"/>
      <c r="V9" s="146"/>
      <c r="W9" s="146"/>
      <c r="X9" s="146"/>
      <c r="Y9" s="146"/>
      <c r="Z9" s="146"/>
      <c r="AA9" s="152"/>
      <c r="AB9" s="152"/>
      <c r="AC9" s="152"/>
      <c r="AD9" s="152"/>
      <c r="AE9" s="152"/>
      <c r="AF9" s="152"/>
      <c r="AG9" s="152"/>
      <c r="AH9" s="152"/>
      <c r="AI9" s="152"/>
      <c r="AJ9" s="152"/>
      <c r="AK9" s="152"/>
      <c r="AL9" s="152"/>
      <c r="AM9" s="152"/>
      <c r="AN9" s="152"/>
      <c r="AO9" s="152"/>
      <c r="AP9" s="152"/>
      <c r="AQ9" s="152"/>
      <c r="AR9" s="152"/>
      <c r="AS9" s="152"/>
      <c r="AT9" s="152"/>
      <c r="AU9" s="152"/>
    </row>
    <row r="10" spans="1:85" s="118" customFormat="1" ht="14.5" customHeight="1" x14ac:dyDescent="0.3">
      <c r="A10" s="37"/>
      <c r="B10" s="146"/>
      <c r="C10" s="146"/>
      <c r="D10" s="335"/>
      <c r="E10" s="780" t="s">
        <v>370</v>
      </c>
      <c r="F10" s="781"/>
      <c r="G10" s="767"/>
      <c r="H10" s="768"/>
      <c r="I10" s="336"/>
      <c r="J10" s="39"/>
      <c r="K10" s="39"/>
      <c r="L10" s="39"/>
      <c r="M10" s="39"/>
      <c r="N10" s="39"/>
      <c r="O10" s="433"/>
      <c r="P10" s="146"/>
      <c r="Q10" s="146"/>
      <c r="R10" s="146"/>
      <c r="S10" s="146"/>
      <c r="T10" s="146"/>
      <c r="U10" s="146"/>
      <c r="V10" s="146"/>
      <c r="W10" s="146"/>
      <c r="X10" s="146"/>
      <c r="Y10" s="146"/>
      <c r="Z10" s="146"/>
      <c r="AA10" s="152"/>
      <c r="AB10" s="152"/>
      <c r="AC10" s="152"/>
      <c r="AD10" s="152"/>
      <c r="AE10" s="152"/>
      <c r="AF10" s="152"/>
      <c r="AG10" s="152"/>
      <c r="AH10" s="152"/>
      <c r="AI10" s="152"/>
      <c r="AJ10" s="152"/>
      <c r="AK10" s="152"/>
      <c r="AL10" s="152"/>
      <c r="AM10" s="152"/>
      <c r="AN10" s="152"/>
      <c r="AO10" s="152"/>
      <c r="AP10" s="152"/>
      <c r="AQ10" s="152"/>
      <c r="AR10" s="152"/>
      <c r="AS10" s="152"/>
      <c r="AT10" s="152"/>
      <c r="AU10" s="152"/>
    </row>
    <row r="11" spans="1:85" s="118" customFormat="1" ht="14.5" customHeight="1" x14ac:dyDescent="0.3">
      <c r="A11" s="37"/>
      <c r="B11" s="146"/>
      <c r="C11" s="146"/>
      <c r="D11" s="335"/>
      <c r="E11" s="771" t="s">
        <v>371</v>
      </c>
      <c r="F11" s="772"/>
      <c r="G11" s="767"/>
      <c r="H11" s="768"/>
      <c r="I11" s="336"/>
      <c r="J11" s="430"/>
      <c r="K11" s="39"/>
      <c r="L11" s="432"/>
      <c r="M11" s="431"/>
      <c r="N11" s="39"/>
      <c r="O11" s="433"/>
      <c r="P11" s="146"/>
      <c r="Q11" s="146"/>
      <c r="R11" s="146"/>
      <c r="S11" s="146"/>
      <c r="T11" s="146"/>
      <c r="U11" s="146"/>
      <c r="V11" s="146"/>
      <c r="W11" s="146"/>
      <c r="X11" s="146"/>
      <c r="Y11" s="146"/>
      <c r="Z11" s="146"/>
      <c r="AA11" s="152"/>
      <c r="AB11" s="152"/>
      <c r="AC11" s="152"/>
      <c r="AD11" s="152"/>
      <c r="AE11" s="152"/>
      <c r="AF11" s="152"/>
      <c r="AG11" s="152"/>
      <c r="AH11" s="152"/>
      <c r="AI11" s="152"/>
      <c r="AJ11" s="152"/>
      <c r="AK11" s="152"/>
      <c r="AL11" s="152"/>
      <c r="AM11" s="152"/>
      <c r="AN11" s="152"/>
      <c r="AO11" s="152"/>
      <c r="AP11" s="152"/>
      <c r="AQ11" s="152"/>
      <c r="AR11" s="152"/>
      <c r="AS11" s="152"/>
      <c r="AT11" s="152"/>
      <c r="AU11" s="152"/>
    </row>
    <row r="12" spans="1:85" s="118" customFormat="1" ht="15" customHeight="1" x14ac:dyDescent="0.3">
      <c r="A12" s="37"/>
      <c r="B12" s="146"/>
      <c r="C12" s="146"/>
      <c r="D12" s="335"/>
      <c r="E12" s="771" t="s">
        <v>372</v>
      </c>
      <c r="F12" s="772"/>
      <c r="G12" s="767"/>
      <c r="H12" s="768"/>
      <c r="I12" s="336"/>
      <c r="J12" s="430"/>
      <c r="K12" s="39"/>
      <c r="L12" s="432"/>
      <c r="M12" s="431"/>
      <c r="N12" s="39"/>
      <c r="O12" s="433"/>
      <c r="P12" s="146"/>
      <c r="Q12" s="146"/>
      <c r="R12" s="146"/>
      <c r="S12" s="146"/>
      <c r="T12" s="146"/>
      <c r="U12" s="146"/>
      <c r="V12" s="146"/>
      <c r="W12" s="146"/>
      <c r="X12" s="146"/>
      <c r="Y12" s="146"/>
      <c r="Z12" s="146"/>
      <c r="AA12" s="152"/>
      <c r="AB12" s="152"/>
      <c r="AC12" s="152"/>
      <c r="AD12" s="152"/>
      <c r="AE12" s="152"/>
      <c r="AF12" s="152"/>
      <c r="AG12" s="152"/>
      <c r="AH12" s="152"/>
      <c r="AI12" s="152"/>
      <c r="AJ12" s="152"/>
      <c r="AK12" s="152"/>
      <c r="AL12" s="152"/>
      <c r="AM12" s="152"/>
      <c r="AN12" s="152"/>
      <c r="AO12" s="152"/>
      <c r="AP12" s="152"/>
      <c r="AQ12" s="152"/>
      <c r="AR12" s="152"/>
      <c r="AS12" s="152"/>
      <c r="AT12" s="152"/>
      <c r="AU12" s="152"/>
    </row>
    <row r="13" spans="1:85" s="118" customFormat="1" ht="15" customHeight="1" x14ac:dyDescent="0.3">
      <c r="A13" s="37"/>
      <c r="B13" s="146"/>
      <c r="C13" s="146"/>
      <c r="D13" s="335"/>
      <c r="E13" s="771" t="s">
        <v>373</v>
      </c>
      <c r="F13" s="772"/>
      <c r="G13" s="767"/>
      <c r="H13" s="768"/>
      <c r="I13" s="336"/>
      <c r="J13" s="430"/>
      <c r="K13" s="39"/>
      <c r="L13" s="432"/>
      <c r="M13" s="431"/>
      <c r="N13" s="39"/>
      <c r="O13" s="433"/>
      <c r="P13" s="146"/>
      <c r="Q13" s="146"/>
      <c r="R13" s="146"/>
      <c r="S13" s="146"/>
      <c r="T13" s="146"/>
      <c r="U13" s="146"/>
      <c r="V13" s="146"/>
      <c r="W13" s="146"/>
      <c r="X13" s="146"/>
      <c r="Y13" s="146"/>
      <c r="Z13" s="146"/>
      <c r="AA13" s="152"/>
      <c r="AB13" s="152"/>
      <c r="AC13" s="152"/>
      <c r="AD13" s="152"/>
      <c r="AE13" s="152"/>
      <c r="AF13" s="152"/>
      <c r="AG13" s="152"/>
      <c r="AH13" s="152"/>
      <c r="AI13" s="152"/>
      <c r="AJ13" s="152"/>
      <c r="AK13" s="152"/>
      <c r="AL13" s="152"/>
      <c r="AM13" s="152"/>
      <c r="AN13" s="152"/>
      <c r="AO13" s="152"/>
      <c r="AP13" s="152"/>
      <c r="AQ13" s="152"/>
      <c r="AR13" s="152"/>
      <c r="AS13" s="152"/>
      <c r="AT13" s="152"/>
      <c r="AU13" s="152"/>
    </row>
    <row r="14" spans="1:85" s="118" customFormat="1" ht="15" customHeight="1" x14ac:dyDescent="0.3">
      <c r="A14" s="37"/>
      <c r="B14" s="146"/>
      <c r="C14" s="146"/>
      <c r="D14" s="335"/>
      <c r="E14" s="771" t="s">
        <v>362</v>
      </c>
      <c r="F14" s="772"/>
      <c r="G14" s="767"/>
      <c r="H14" s="768"/>
      <c r="I14" s="336"/>
      <c r="J14" s="430"/>
      <c r="K14" s="39"/>
      <c r="L14" s="432"/>
      <c r="M14" s="431"/>
      <c r="N14" s="39"/>
      <c r="O14" s="433"/>
      <c r="P14" s="146"/>
      <c r="Q14" s="146"/>
      <c r="R14" s="146"/>
      <c r="S14" s="146"/>
      <c r="T14" s="146"/>
      <c r="U14" s="146"/>
      <c r="V14" s="146"/>
      <c r="W14" s="146"/>
      <c r="X14" s="146"/>
      <c r="Y14" s="146"/>
      <c r="Z14" s="146"/>
      <c r="AA14" s="152"/>
      <c r="AB14" s="152"/>
      <c r="AC14" s="152"/>
      <c r="AD14" s="152"/>
      <c r="AE14" s="152"/>
      <c r="AF14" s="152"/>
      <c r="AG14" s="152"/>
      <c r="AH14" s="152"/>
      <c r="AI14" s="152"/>
      <c r="AJ14" s="152"/>
      <c r="AK14" s="152"/>
      <c r="AL14" s="152"/>
      <c r="AM14" s="152"/>
      <c r="AN14" s="152"/>
      <c r="AO14" s="152"/>
      <c r="AP14" s="152"/>
      <c r="AQ14" s="152"/>
      <c r="AR14" s="152"/>
      <c r="AS14" s="152"/>
      <c r="AT14" s="152"/>
      <c r="AU14" s="152"/>
    </row>
    <row r="15" spans="1:85" s="118" customFormat="1" ht="15" customHeight="1" x14ac:dyDescent="0.3">
      <c r="A15" s="37"/>
      <c r="B15" s="146"/>
      <c r="C15" s="146"/>
      <c r="D15" s="335"/>
      <c r="E15" s="771" t="s">
        <v>374</v>
      </c>
      <c r="F15" s="772"/>
      <c r="G15" s="767"/>
      <c r="H15" s="768"/>
      <c r="I15" s="336"/>
      <c r="J15" s="430"/>
      <c r="K15" s="39"/>
      <c r="L15" s="432"/>
      <c r="M15" s="431"/>
      <c r="N15" s="39"/>
      <c r="O15" s="433"/>
      <c r="P15" s="146"/>
      <c r="Q15" s="146"/>
      <c r="R15" s="146"/>
      <c r="S15" s="146"/>
      <c r="T15" s="146"/>
      <c r="U15" s="146"/>
      <c r="V15" s="146"/>
      <c r="W15" s="146"/>
      <c r="X15" s="146"/>
      <c r="Y15" s="146"/>
      <c r="Z15" s="146"/>
      <c r="AA15" s="152"/>
      <c r="AB15" s="152"/>
      <c r="AC15" s="152"/>
      <c r="AD15" s="152"/>
      <c r="AE15" s="152"/>
      <c r="AF15" s="152"/>
      <c r="AG15" s="152"/>
      <c r="AH15" s="152"/>
      <c r="AI15" s="152"/>
      <c r="AJ15" s="152"/>
      <c r="AK15" s="152"/>
      <c r="AL15" s="152"/>
      <c r="AM15" s="152"/>
      <c r="AN15" s="152"/>
      <c r="AO15" s="152"/>
      <c r="AP15" s="152"/>
      <c r="AQ15" s="152"/>
      <c r="AR15" s="152"/>
      <c r="AS15" s="152"/>
      <c r="AT15" s="152"/>
      <c r="AU15" s="152"/>
    </row>
    <row r="16" spans="1:85" s="118" customFormat="1" ht="15" customHeight="1" x14ac:dyDescent="0.3">
      <c r="A16" s="37"/>
      <c r="B16" s="146"/>
      <c r="C16" s="146"/>
      <c r="D16" s="335"/>
      <c r="E16" s="771" t="s">
        <v>373</v>
      </c>
      <c r="F16" s="772"/>
      <c r="G16" s="767"/>
      <c r="H16" s="768"/>
      <c r="I16" s="336"/>
      <c r="J16" s="430"/>
      <c r="K16" s="39"/>
      <c r="L16" s="432"/>
      <c r="M16" s="431"/>
      <c r="N16" s="39"/>
      <c r="O16" s="433"/>
      <c r="P16" s="146"/>
      <c r="Q16" s="146"/>
      <c r="R16" s="146"/>
      <c r="S16" s="146"/>
      <c r="T16" s="146"/>
      <c r="U16" s="146"/>
      <c r="V16" s="146"/>
      <c r="W16" s="146"/>
      <c r="X16" s="146"/>
      <c r="Y16" s="146"/>
      <c r="Z16" s="146"/>
      <c r="AA16" s="152"/>
      <c r="AB16" s="152"/>
      <c r="AC16" s="152"/>
      <c r="AD16" s="152"/>
      <c r="AE16" s="152"/>
      <c r="AF16" s="152"/>
      <c r="AG16" s="152"/>
      <c r="AH16" s="152"/>
      <c r="AI16" s="152"/>
      <c r="AJ16" s="152"/>
      <c r="AK16" s="152"/>
      <c r="AL16" s="152"/>
      <c r="AM16" s="152"/>
      <c r="AN16" s="152"/>
      <c r="AO16" s="152"/>
      <c r="AP16" s="152"/>
      <c r="AQ16" s="152"/>
      <c r="AR16" s="152"/>
      <c r="AS16" s="152"/>
      <c r="AT16" s="152"/>
      <c r="AU16" s="152"/>
    </row>
    <row r="17" spans="1:55" s="118" customFormat="1" ht="15" customHeight="1" x14ac:dyDescent="0.3">
      <c r="A17" s="37"/>
      <c r="B17" s="146"/>
      <c r="C17" s="146"/>
      <c r="D17" s="335"/>
      <c r="E17" s="782" t="s">
        <v>375</v>
      </c>
      <c r="F17" s="783"/>
      <c r="G17" s="769"/>
      <c r="H17" s="770"/>
      <c r="I17" s="336"/>
      <c r="J17" s="430"/>
      <c r="K17" s="39"/>
      <c r="L17" s="432"/>
      <c r="M17" s="431"/>
      <c r="N17" s="39"/>
      <c r="O17" s="433"/>
      <c r="P17" s="146"/>
      <c r="Q17" s="146"/>
      <c r="R17" s="146"/>
      <c r="S17" s="146"/>
      <c r="T17" s="146"/>
      <c r="U17" s="146"/>
      <c r="V17" s="146"/>
      <c r="W17" s="146"/>
      <c r="X17" s="146"/>
      <c r="Y17" s="146"/>
      <c r="Z17" s="146"/>
      <c r="AA17" s="152"/>
      <c r="AB17" s="152"/>
      <c r="AC17" s="152"/>
      <c r="AD17" s="152"/>
      <c r="AE17" s="152"/>
      <c r="AF17" s="152"/>
      <c r="AG17" s="152"/>
      <c r="AH17" s="152"/>
      <c r="AI17" s="152"/>
      <c r="AJ17" s="152"/>
      <c r="AK17" s="152"/>
      <c r="AL17" s="152"/>
      <c r="AM17" s="152"/>
      <c r="AN17" s="152"/>
      <c r="AO17" s="152"/>
      <c r="AP17" s="152"/>
      <c r="AQ17" s="152"/>
      <c r="AR17" s="152"/>
      <c r="AS17" s="152"/>
      <c r="AT17" s="152"/>
      <c r="AU17" s="152"/>
    </row>
    <row r="18" spans="1:55" s="118" customFormat="1" ht="8.25" customHeight="1" x14ac:dyDescent="0.3">
      <c r="A18" s="37"/>
      <c r="B18" s="146"/>
      <c r="C18" s="146"/>
      <c r="D18" s="340"/>
      <c r="E18" s="341"/>
      <c r="F18" s="341"/>
      <c r="G18" s="341"/>
      <c r="H18" s="341"/>
      <c r="I18" s="343"/>
      <c r="J18" s="430"/>
      <c r="K18" s="39"/>
      <c r="L18" s="432"/>
      <c r="M18" s="431"/>
      <c r="N18" s="39"/>
      <c r="O18" s="433"/>
      <c r="P18" s="146"/>
      <c r="Q18" s="146"/>
      <c r="R18" s="146"/>
      <c r="S18" s="146"/>
      <c r="T18" s="146"/>
      <c r="U18" s="146"/>
      <c r="V18" s="146"/>
      <c r="W18" s="146"/>
      <c r="X18" s="146"/>
      <c r="Y18" s="146"/>
      <c r="Z18" s="146"/>
      <c r="AA18" s="152"/>
      <c r="AB18" s="152"/>
      <c r="AC18" s="152"/>
      <c r="AD18" s="152"/>
      <c r="AE18" s="152"/>
      <c r="AF18" s="152"/>
      <c r="AG18" s="152"/>
      <c r="AH18" s="152"/>
      <c r="AI18" s="152"/>
      <c r="AJ18" s="152"/>
      <c r="AK18" s="152"/>
      <c r="AL18" s="152"/>
      <c r="AM18" s="152"/>
      <c r="AN18" s="152"/>
      <c r="AO18" s="152"/>
      <c r="AP18" s="152"/>
      <c r="AQ18" s="152"/>
      <c r="AR18" s="152"/>
      <c r="AS18" s="152"/>
      <c r="AT18" s="152"/>
      <c r="AU18" s="152"/>
    </row>
    <row r="19" spans="1:55" s="118" customFormat="1" x14ac:dyDescent="0.3">
      <c r="A19" s="37"/>
      <c r="B19" s="146"/>
      <c r="C19" s="146"/>
      <c r="D19" s="39"/>
      <c r="E19" s="432"/>
      <c r="F19" s="432"/>
      <c r="G19" s="429"/>
      <c r="H19" s="39"/>
      <c r="I19" s="432"/>
      <c r="J19" s="430"/>
      <c r="K19" s="39"/>
      <c r="L19" s="432"/>
      <c r="M19" s="431"/>
      <c r="N19" s="39"/>
      <c r="O19" s="146"/>
      <c r="P19" s="146"/>
      <c r="Q19" s="146"/>
      <c r="R19" s="146"/>
      <c r="S19" s="146"/>
      <c r="T19" s="146"/>
      <c r="U19" s="146"/>
      <c r="V19" s="146"/>
      <c r="W19" s="146"/>
      <c r="X19" s="146"/>
      <c r="Y19" s="146"/>
      <c r="Z19" s="146"/>
      <c r="AA19" s="152"/>
      <c r="AB19" s="152"/>
      <c r="AC19" s="152"/>
      <c r="AD19" s="152"/>
      <c r="AE19" s="152"/>
      <c r="AF19" s="152"/>
      <c r="AG19" s="152"/>
      <c r="AH19" s="152"/>
      <c r="AI19" s="152"/>
      <c r="AJ19" s="152"/>
      <c r="AK19" s="152"/>
      <c r="AL19" s="152"/>
      <c r="AM19" s="152"/>
      <c r="AN19" s="152"/>
      <c r="AO19" s="152"/>
      <c r="AP19" s="152"/>
      <c r="AQ19" s="152"/>
      <c r="AR19" s="152"/>
      <c r="AS19" s="152"/>
      <c r="AT19" s="152"/>
      <c r="AU19" s="152"/>
    </row>
    <row r="20" spans="1:55" s="118" customFormat="1" ht="24" customHeight="1" thickBot="1" x14ac:dyDescent="0.4">
      <c r="A20" s="37"/>
      <c r="B20" s="300"/>
      <c r="C20" s="301" t="s">
        <v>237</v>
      </c>
      <c r="D20" s="302"/>
      <c r="E20" s="302"/>
      <c r="F20" s="302"/>
      <c r="G20" s="302"/>
      <c r="H20" s="302"/>
      <c r="I20" s="302"/>
      <c r="J20" s="303"/>
      <c r="K20" s="302"/>
      <c r="L20" s="302"/>
      <c r="M20" s="302"/>
      <c r="N20" s="302"/>
      <c r="O20" s="302"/>
      <c r="P20" s="302"/>
      <c r="Q20" s="302"/>
      <c r="R20" s="302"/>
      <c r="S20" s="304"/>
      <c r="U20" s="36"/>
      <c r="V20" s="36"/>
      <c r="W20" s="36"/>
      <c r="X20" s="36"/>
      <c r="Y20" s="36"/>
      <c r="Z20" s="36"/>
      <c r="AE20" s="152"/>
      <c r="AF20" s="152"/>
      <c r="AG20" s="152"/>
      <c r="AH20" s="152"/>
      <c r="AI20" s="152"/>
      <c r="AJ20" s="152"/>
      <c r="AK20" s="152"/>
      <c r="AL20" s="152"/>
      <c r="AM20" s="152"/>
      <c r="AN20" s="152"/>
      <c r="AO20" s="152"/>
      <c r="AP20" s="152"/>
      <c r="AQ20" s="152"/>
      <c r="AR20" s="152"/>
      <c r="AS20" s="152"/>
      <c r="AT20" s="152"/>
      <c r="AU20" s="152"/>
    </row>
    <row r="21" spans="1:55" s="118" customFormat="1" x14ac:dyDescent="0.3">
      <c r="A21" s="37"/>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52"/>
      <c r="AB21" s="152"/>
      <c r="AD21" s="152"/>
      <c r="AE21" s="152"/>
      <c r="AF21" s="152"/>
      <c r="AG21" s="152"/>
      <c r="AH21" s="152"/>
      <c r="AI21" s="152"/>
      <c r="AJ21" s="152"/>
      <c r="AK21" s="152"/>
      <c r="AL21" s="152"/>
      <c r="AM21" s="152"/>
      <c r="AN21" s="152"/>
      <c r="AO21" s="152"/>
      <c r="AP21" s="152"/>
      <c r="AQ21" s="152"/>
      <c r="AR21" s="152"/>
      <c r="AS21" s="152"/>
      <c r="AT21" s="152"/>
      <c r="AU21" s="152"/>
    </row>
    <row r="22" spans="1:55" s="118" customFormat="1" ht="18.75" customHeight="1" x14ac:dyDescent="0.35">
      <c r="A22" s="37"/>
      <c r="B22" s="36"/>
      <c r="C22" s="36"/>
      <c r="D22" s="344"/>
      <c r="E22" s="345" t="s">
        <v>338</v>
      </c>
      <c r="F22" s="345"/>
      <c r="G22" s="346"/>
      <c r="H22" s="346"/>
      <c r="I22" s="346"/>
      <c r="J22" s="346"/>
      <c r="K22" s="346"/>
      <c r="L22" s="347"/>
      <c r="M22" s="36"/>
      <c r="N22" s="36"/>
      <c r="O22" s="146"/>
      <c r="P22" s="146"/>
      <c r="Q22" s="146"/>
      <c r="R22" s="146"/>
      <c r="S22" s="146"/>
      <c r="T22" s="146"/>
      <c r="U22" s="146"/>
      <c r="V22" s="146"/>
      <c r="W22" s="146"/>
      <c r="X22" s="146"/>
      <c r="Y22" s="146"/>
      <c r="Z22" s="146"/>
      <c r="AA22" s="152"/>
      <c r="AB22" s="152"/>
      <c r="AD22" s="152"/>
      <c r="AE22" s="152"/>
      <c r="AF22" s="152"/>
      <c r="AG22" s="152"/>
      <c r="AH22" s="152"/>
      <c r="AI22" s="152"/>
      <c r="AJ22" s="181"/>
      <c r="AK22" s="152"/>
      <c r="AL22" s="152"/>
      <c r="AM22" s="152"/>
      <c r="AN22" s="152"/>
      <c r="AO22" s="152"/>
      <c r="AP22" s="152"/>
      <c r="AQ22" s="152"/>
      <c r="AR22" s="152"/>
      <c r="AS22" s="152"/>
      <c r="AT22" s="152"/>
      <c r="AU22" s="152"/>
    </row>
    <row r="23" spans="1:55" s="118" customFormat="1" ht="7.5" customHeight="1" x14ac:dyDescent="0.3">
      <c r="A23" s="37"/>
      <c r="B23" s="36"/>
      <c r="C23" s="36"/>
      <c r="D23" s="335"/>
      <c r="E23" s="310"/>
      <c r="F23" s="310"/>
      <c r="G23" s="310"/>
      <c r="H23" s="310"/>
      <c r="I23" s="310"/>
      <c r="J23" s="310"/>
      <c r="K23" s="310"/>
      <c r="L23" s="336"/>
      <c r="M23" s="36"/>
      <c r="N23" s="36"/>
      <c r="O23" s="146"/>
      <c r="P23" s="146"/>
      <c r="Q23" s="146"/>
      <c r="R23" s="146"/>
      <c r="S23" s="146"/>
      <c r="T23" s="146"/>
      <c r="U23" s="146"/>
      <c r="V23" s="146"/>
      <c r="W23" s="146"/>
      <c r="X23" s="146"/>
      <c r="Y23" s="146"/>
      <c r="Z23" s="146"/>
      <c r="AA23" s="152"/>
      <c r="AB23" s="152"/>
      <c r="AD23" s="152"/>
      <c r="AE23" s="152"/>
      <c r="AF23" s="152"/>
      <c r="AG23" s="152"/>
      <c r="AH23" s="152"/>
      <c r="AI23" s="152"/>
      <c r="AJ23" s="152"/>
      <c r="AK23" s="152"/>
      <c r="AL23" s="152"/>
      <c r="AM23" s="152"/>
      <c r="AN23" s="152"/>
      <c r="AO23" s="152"/>
      <c r="AP23" s="152"/>
      <c r="AQ23" s="152"/>
      <c r="AR23" s="152"/>
      <c r="AS23" s="152"/>
      <c r="AT23" s="152"/>
      <c r="AU23" s="152"/>
    </row>
    <row r="24" spans="1:55" s="118" customFormat="1" ht="38.25" customHeight="1" x14ac:dyDescent="0.3">
      <c r="A24" s="37"/>
      <c r="B24" s="36"/>
      <c r="C24" s="36"/>
      <c r="D24" s="335"/>
      <c r="E24" s="310"/>
      <c r="F24" s="310"/>
      <c r="G24" s="796" t="s">
        <v>264</v>
      </c>
      <c r="H24" s="797"/>
      <c r="I24" s="796" t="s">
        <v>263</v>
      </c>
      <c r="J24" s="796"/>
      <c r="K24" s="796"/>
      <c r="L24" s="336"/>
      <c r="M24" s="36"/>
      <c r="N24" s="36"/>
      <c r="O24" s="146"/>
      <c r="P24" s="146"/>
      <c r="Q24" s="146"/>
      <c r="R24" s="146"/>
      <c r="S24" s="146"/>
      <c r="T24" s="146"/>
      <c r="U24" s="146"/>
      <c r="V24" s="146"/>
      <c r="W24" s="146"/>
      <c r="X24" s="146"/>
      <c r="Y24" s="146"/>
      <c r="Z24" s="146"/>
      <c r="AA24" s="152"/>
      <c r="AB24" s="152"/>
      <c r="AD24" s="152"/>
      <c r="AE24" s="152"/>
      <c r="AF24" s="152"/>
      <c r="AG24" s="152"/>
      <c r="AH24" s="152"/>
      <c r="AI24" s="152"/>
      <c r="AJ24" s="152"/>
      <c r="AK24" s="152"/>
      <c r="AL24" s="152"/>
      <c r="AM24" s="152"/>
      <c r="AN24" s="152"/>
      <c r="AO24" s="152"/>
      <c r="AP24" s="152"/>
      <c r="AQ24" s="152"/>
      <c r="AR24" s="152"/>
      <c r="AS24" s="152"/>
      <c r="AT24" s="152"/>
      <c r="AU24" s="152"/>
    </row>
    <row r="25" spans="1:55" s="118" customFormat="1" ht="52" thickBot="1" x14ac:dyDescent="0.35">
      <c r="A25" s="37"/>
      <c r="B25" s="36"/>
      <c r="C25" s="40"/>
      <c r="D25" s="335"/>
      <c r="E25" s="310"/>
      <c r="F25" s="310"/>
      <c r="G25" s="798" t="s">
        <v>267</v>
      </c>
      <c r="H25" s="799"/>
      <c r="I25" s="133" t="s">
        <v>266</v>
      </c>
      <c r="J25" s="134" t="s">
        <v>411</v>
      </c>
      <c r="K25" s="135" t="s">
        <v>263</v>
      </c>
      <c r="L25" s="336"/>
      <c r="M25" s="36"/>
      <c r="N25" s="36"/>
      <c r="O25" s="146"/>
      <c r="P25" s="146"/>
      <c r="Q25" s="146"/>
      <c r="R25" s="146"/>
      <c r="S25" s="146"/>
      <c r="T25" s="146"/>
      <c r="U25" s="146"/>
      <c r="V25" s="146"/>
      <c r="W25" s="146"/>
      <c r="X25" s="146"/>
      <c r="Y25" s="146"/>
      <c r="Z25" s="146"/>
      <c r="AA25" s="152"/>
      <c r="AB25" s="152"/>
      <c r="AD25" s="152"/>
      <c r="AE25" s="152"/>
      <c r="AF25" s="152"/>
      <c r="AG25" s="152"/>
      <c r="AH25" s="152"/>
      <c r="AI25" s="152"/>
      <c r="AJ25" s="152"/>
      <c r="AK25" s="152"/>
      <c r="AL25" s="152"/>
      <c r="AM25" s="152"/>
      <c r="AN25" s="152"/>
      <c r="AO25" s="152"/>
      <c r="AP25" s="152"/>
      <c r="AQ25" s="152"/>
      <c r="AR25" s="152"/>
      <c r="AS25" s="152"/>
      <c r="AT25" s="152"/>
      <c r="AU25" s="152"/>
    </row>
    <row r="26" spans="1:55" s="118" customFormat="1" ht="26.5" thickBot="1" x14ac:dyDescent="0.35">
      <c r="A26" s="37"/>
      <c r="B26" s="36"/>
      <c r="C26" s="40"/>
      <c r="D26" s="335"/>
      <c r="E26" s="813" t="s">
        <v>245</v>
      </c>
      <c r="F26" s="814"/>
      <c r="G26" s="800" t="s">
        <v>233</v>
      </c>
      <c r="H26" s="801"/>
      <c r="I26" s="126" t="s">
        <v>235</v>
      </c>
      <c r="J26" s="124" t="s">
        <v>236</v>
      </c>
      <c r="K26" s="125" t="s">
        <v>2</v>
      </c>
      <c r="L26" s="336"/>
      <c r="M26" s="36"/>
      <c r="N26" s="36"/>
      <c r="O26" s="146"/>
      <c r="P26" s="146"/>
      <c r="Q26" s="146"/>
      <c r="R26" s="36"/>
      <c r="S26" s="146"/>
      <c r="T26" s="146"/>
      <c r="U26" s="146"/>
      <c r="V26" s="146"/>
      <c r="W26" s="146"/>
      <c r="X26" s="146"/>
      <c r="Y26" s="146"/>
      <c r="Z26" s="146"/>
      <c r="AA26" s="152"/>
      <c r="AB26" s="152"/>
      <c r="AE26" s="152"/>
      <c r="AF26" s="182" t="s">
        <v>138</v>
      </c>
      <c r="AG26" s="152"/>
      <c r="AH26" s="152"/>
      <c r="AI26" s="183" t="s">
        <v>160</v>
      </c>
      <c r="AJ26" s="184" t="s">
        <v>161</v>
      </c>
      <c r="AK26" s="185" t="str">
        <f xml:space="preserve"> "Eco1: "&amp;ROUND(AK35,-LEN(AK35)+2)&amp;" MWh"</f>
        <v>Eco1: 2900 MWh</v>
      </c>
      <c r="AL26" s="185" t="str">
        <f xml:space="preserve"> "Eco2: "&amp;ROUND(AL35,-LEN(ROUND(AL35,0))+2)&amp;" MWh"</f>
        <v>Eco2: 1200 MWh</v>
      </c>
      <c r="AM26" s="186" t="str">
        <f xml:space="preserve"> "Eco total: "&amp;ROUND(AM35,-LEN(ROUND(AM35,0))+2)&amp;" MWh"</f>
        <v>Eco total: 4100 MWh</v>
      </c>
      <c r="AN26" s="185" t="s">
        <v>145</v>
      </c>
      <c r="AO26" s="152"/>
      <c r="AP26" s="152"/>
      <c r="AQ26" s="152"/>
      <c r="AR26" s="183" t="s">
        <v>160</v>
      </c>
      <c r="AS26" s="184" t="s">
        <v>161</v>
      </c>
      <c r="AT26" s="185" t="str">
        <f ca="1">"Eco: "&amp;ROUND(AT35,-LEN(ROUND(AT35,0))+2)&amp;" €"</f>
        <v>Eco: 240000 €</v>
      </c>
      <c r="AU26" s="185" t="s">
        <v>145</v>
      </c>
      <c r="AW26" s="152"/>
      <c r="AX26" s="183" t="s">
        <v>160</v>
      </c>
      <c r="AY26" s="184" t="s">
        <v>161</v>
      </c>
      <c r="AZ26" s="185" t="str">
        <f xml:space="preserve"> "Eco Co2 1: "&amp;ROUND(AZ35,-LEN(AZ35)+2)&amp;" tonnes"</f>
        <v>Eco Co2 1: 0 tonnes</v>
      </c>
      <c r="BA26" s="185" t="str">
        <f xml:space="preserve"> "Eco Co2 2: "&amp;ROUND(BA35,-LEN(ROUND(BA35,0))+2)&amp;" tonnes"</f>
        <v>Eco Co2 2: 150 tonnes</v>
      </c>
      <c r="BB26" s="186" t="str">
        <f xml:space="preserve"> "Eco Co2 total: "&amp;ROUND(BB35,-LEN(ROUND(BB35,0))+2)&amp;" tonnes"</f>
        <v>Eco Co2 total: 650 tonnes</v>
      </c>
      <c r="BC26" s="185" t="s">
        <v>156</v>
      </c>
    </row>
    <row r="27" spans="1:55" s="194" customFormat="1" ht="15.75" customHeight="1" x14ac:dyDescent="0.35">
      <c r="A27" s="156"/>
      <c r="B27" s="122"/>
      <c r="C27" s="261"/>
      <c r="D27" s="337"/>
      <c r="E27" s="815" t="s">
        <v>57</v>
      </c>
      <c r="F27" s="816"/>
      <c r="G27" s="804">
        <v>10000</v>
      </c>
      <c r="H27" s="805"/>
      <c r="I27" s="535"/>
      <c r="J27" s="493">
        <f ca="1">'Scénarios prix énergie'!D138</f>
        <v>83.7</v>
      </c>
      <c r="K27" s="494">
        <f t="shared" ref="K27:K34" ca="1" si="0">IF(ISBLANK(G27),"",IF(ISBLANK(I27),G27*J27,G27*I27))</f>
        <v>837000</v>
      </c>
      <c r="L27" s="338"/>
      <c r="M27" s="122"/>
      <c r="N27" s="122"/>
      <c r="O27" s="157"/>
      <c r="P27" s="157"/>
      <c r="Q27" s="157"/>
      <c r="R27" s="122"/>
      <c r="S27" s="157"/>
      <c r="T27" s="157"/>
      <c r="U27" s="157"/>
      <c r="V27" s="157"/>
      <c r="W27" s="157"/>
      <c r="X27" s="157"/>
      <c r="Y27" s="157"/>
      <c r="Z27" s="157"/>
      <c r="AA27" s="195"/>
      <c r="AB27" s="195"/>
      <c r="AE27" s="262" t="s">
        <v>57</v>
      </c>
      <c r="AF27" s="263">
        <f t="shared" ref="AF27:AF34" ca="1" si="1">IF(ISBLANK(I27),J27,I27)</f>
        <v>83.7</v>
      </c>
      <c r="AG27" s="195"/>
      <c r="AH27" s="262" t="s">
        <v>57</v>
      </c>
      <c r="AI27" s="264">
        <f t="shared" ref="AI27:AI34" si="2">G27</f>
        <v>10000</v>
      </c>
      <c r="AJ27" s="265">
        <f t="shared" ref="AJ27:AJ34" si="3">AI27-AM27</f>
        <v>8348</v>
      </c>
      <c r="AK27" s="265">
        <f>SUMIF('Plan d''actions'!$E$7:$E$16,"=Electricité",'Plan d''actions'!$F$7:$F$16)</f>
        <v>826</v>
      </c>
      <c r="AL27" s="265">
        <f>SUMIF('Plan d''actions'!$E$7:$E$16,"=Electricité",'Plan d''actions'!$F$7:$F$16)</f>
        <v>826</v>
      </c>
      <c r="AM27" s="265">
        <f t="shared" ref="AM27:AM34" si="4">AK27+AL27</f>
        <v>1652</v>
      </c>
      <c r="AN27" s="266">
        <f t="shared" ref="AN27:AN34" si="5">IF(AM27=0,#N/A,AM27/$AM$35)</f>
        <v>0.39826422372227582</v>
      </c>
      <c r="AO27" s="195"/>
      <c r="AP27" s="195"/>
      <c r="AQ27" s="262" t="s">
        <v>57</v>
      </c>
      <c r="AR27" s="267">
        <f t="shared" ref="AR27:AR34" ca="1" si="6">AI27*AF27</f>
        <v>837000</v>
      </c>
      <c r="AS27" s="268">
        <f t="shared" ref="AS27:AS34" ca="1" si="7">AR27-AT27</f>
        <v>698727.6</v>
      </c>
      <c r="AT27" s="268">
        <f t="shared" ref="AT27:AT34" ca="1" si="8">(AK27+AL27)*AF27</f>
        <v>138272.4</v>
      </c>
      <c r="AU27" s="266">
        <f t="shared" ref="AU27:AU34" ca="1" si="9">IF(AT27=0,#N/A,AT27/$AT$35)</f>
        <v>0.57534134857305175</v>
      </c>
      <c r="AW27" s="262" t="s">
        <v>57</v>
      </c>
      <c r="AX27" s="269">
        <f>G27*'Conversion unités'!G60/1000</f>
        <v>840</v>
      </c>
      <c r="AY27" s="270">
        <f t="shared" ref="AY27:AY34" si="10">(AX27-BB27)</f>
        <v>701.23199999999997</v>
      </c>
      <c r="AZ27" s="270">
        <f>AK27*'Conversion unités'!G60</f>
        <v>69384</v>
      </c>
      <c r="BA27" s="270">
        <f>AL27*'Conversion unités'!G60</f>
        <v>69384</v>
      </c>
      <c r="BB27" s="270">
        <f t="shared" ref="BB27:BB34" si="11">(AZ27+BA27)/1000</f>
        <v>138.768</v>
      </c>
      <c r="BC27" s="266">
        <f t="shared" ref="BC27:BC34" si="12">IF(AZ27=0,#N/A,BB27/$BB$35)</f>
        <v>0.21334218876835659</v>
      </c>
    </row>
    <row r="28" spans="1:55" s="194" customFormat="1" ht="15.75" customHeight="1" x14ac:dyDescent="0.35">
      <c r="A28" s="156"/>
      <c r="B28" s="122"/>
      <c r="C28" s="261"/>
      <c r="D28" s="337"/>
      <c r="E28" s="792" t="s">
        <v>58</v>
      </c>
      <c r="F28" s="793"/>
      <c r="G28" s="802">
        <v>20000</v>
      </c>
      <c r="H28" s="803"/>
      <c r="I28" s="536"/>
      <c r="J28" s="495">
        <f ca="1">'Scénarios prix énergie'!D139</f>
        <v>40.888888888888886</v>
      </c>
      <c r="K28" s="496">
        <f t="shared" ca="1" si="0"/>
        <v>817777.77777777775</v>
      </c>
      <c r="L28" s="339" t="s">
        <v>168</v>
      </c>
      <c r="M28" s="122"/>
      <c r="N28" s="122"/>
      <c r="O28" s="157"/>
      <c r="P28" s="157"/>
      <c r="Q28" s="157"/>
      <c r="R28" s="122"/>
      <c r="S28" s="157"/>
      <c r="T28" s="157"/>
      <c r="U28" s="157"/>
      <c r="V28" s="157"/>
      <c r="W28" s="157"/>
      <c r="X28" s="157"/>
      <c r="Y28" s="157"/>
      <c r="Z28" s="157"/>
      <c r="AA28" s="195"/>
      <c r="AB28" s="195"/>
      <c r="AE28" s="271" t="s">
        <v>58</v>
      </c>
      <c r="AF28" s="272">
        <f t="shared" ca="1" si="1"/>
        <v>40.888888888888886</v>
      </c>
      <c r="AG28" s="195"/>
      <c r="AH28" s="271" t="s">
        <v>58</v>
      </c>
      <c r="AI28" s="273">
        <f t="shared" si="2"/>
        <v>20000</v>
      </c>
      <c r="AJ28" s="274">
        <f t="shared" si="3"/>
        <v>17504</v>
      </c>
      <c r="AK28" s="274">
        <f>SUMIF('Plan d''actions'!$E$7:$E$16,"=Gaz naturel",'Plan d''actions'!$F$7:$F$16)</f>
        <v>2096</v>
      </c>
      <c r="AL28" s="274">
        <f>SUMIF('Plan d''actions'!$G$7:$G$16,"=Gaz naturel",'Plan d''actions'!$H$7:$H$16)</f>
        <v>400</v>
      </c>
      <c r="AM28" s="274">
        <f t="shared" si="4"/>
        <v>2496</v>
      </c>
      <c r="AN28" s="275">
        <f t="shared" si="5"/>
        <v>0.60173577627772423</v>
      </c>
      <c r="AO28" s="195"/>
      <c r="AP28" s="195"/>
      <c r="AQ28" s="271" t="s">
        <v>58</v>
      </c>
      <c r="AR28" s="276">
        <f t="shared" ca="1" si="6"/>
        <v>817777.77777777775</v>
      </c>
      <c r="AS28" s="277">
        <f t="shared" ca="1" si="7"/>
        <v>715719.11111111112</v>
      </c>
      <c r="AT28" s="277">
        <f t="shared" ca="1" si="8"/>
        <v>102058.66666666666</v>
      </c>
      <c r="AU28" s="275">
        <f t="shared" ca="1" si="9"/>
        <v>0.42465865142694825</v>
      </c>
      <c r="AW28" s="271" t="s">
        <v>58</v>
      </c>
      <c r="AX28" s="278">
        <f>G28*'Conversion unités'!G61/1000</f>
        <v>4100</v>
      </c>
      <c r="AY28" s="279">
        <f t="shared" si="10"/>
        <v>3588.32</v>
      </c>
      <c r="AZ28" s="279">
        <f>AK28*'Conversion unités'!G61</f>
        <v>429680</v>
      </c>
      <c r="BA28" s="279">
        <f>AL28*'Conversion unités'!G61</f>
        <v>82000</v>
      </c>
      <c r="BB28" s="279">
        <f t="shared" si="11"/>
        <v>511.68</v>
      </c>
      <c r="BC28" s="275">
        <f t="shared" si="12"/>
        <v>0.78665781123164347</v>
      </c>
    </row>
    <row r="29" spans="1:55" s="194" customFormat="1" ht="15.75" customHeight="1" x14ac:dyDescent="0.35">
      <c r="A29" s="156"/>
      <c r="B29" s="122"/>
      <c r="C29" s="261"/>
      <c r="D29" s="337"/>
      <c r="E29" s="792" t="s">
        <v>15</v>
      </c>
      <c r="F29" s="793"/>
      <c r="G29" s="802"/>
      <c r="H29" s="803"/>
      <c r="I29" s="536"/>
      <c r="J29" s="495">
        <f>'Scénarios prix énergie'!D140</f>
        <v>27.000270002700024</v>
      </c>
      <c r="K29" s="496" t="str">
        <f t="shared" si="0"/>
        <v/>
      </c>
      <c r="L29" s="339" t="s">
        <v>169</v>
      </c>
      <c r="M29" s="122"/>
      <c r="N29" s="122"/>
      <c r="O29" s="157"/>
      <c r="P29" s="157"/>
      <c r="Q29" s="157"/>
      <c r="R29" s="122"/>
      <c r="S29" s="157"/>
      <c r="T29" s="157"/>
      <c r="U29" s="157"/>
      <c r="V29" s="157"/>
      <c r="W29" s="157"/>
      <c r="X29" s="157"/>
      <c r="Y29" s="157"/>
      <c r="Z29" s="157"/>
      <c r="AA29" s="195"/>
      <c r="AB29" s="195"/>
      <c r="AE29" s="271" t="s">
        <v>15</v>
      </c>
      <c r="AF29" s="272">
        <f>IF(ISBLANK(I29),J29,I29)</f>
        <v>27.000270002700024</v>
      </c>
      <c r="AG29" s="195"/>
      <c r="AH29" s="271" t="s">
        <v>15</v>
      </c>
      <c r="AI29" s="273">
        <f t="shared" si="2"/>
        <v>0</v>
      </c>
      <c r="AJ29" s="274">
        <f t="shared" si="3"/>
        <v>0</v>
      </c>
      <c r="AK29" s="274">
        <f>SUMIF('Plan d''actions'!$E$7:$E$16,"=Fioul lourd",'Plan d''actions'!$F$7:$F$16)</f>
        <v>0</v>
      </c>
      <c r="AL29" s="274">
        <f>SUMIF('Plan d''actions'!$G$7:$G$16,"=Fioul lourd",'Plan d''actions'!$H$7:$H$16)</f>
        <v>0</v>
      </c>
      <c r="AM29" s="274">
        <f t="shared" si="4"/>
        <v>0</v>
      </c>
      <c r="AN29" s="275" t="e">
        <f t="shared" si="5"/>
        <v>#N/A</v>
      </c>
      <c r="AO29" s="195"/>
      <c r="AP29" s="195"/>
      <c r="AQ29" s="271" t="s">
        <v>15</v>
      </c>
      <c r="AR29" s="276">
        <f t="shared" si="6"/>
        <v>0</v>
      </c>
      <c r="AS29" s="277">
        <f t="shared" si="7"/>
        <v>0</v>
      </c>
      <c r="AT29" s="277">
        <f t="shared" si="8"/>
        <v>0</v>
      </c>
      <c r="AU29" s="275" t="e">
        <f t="shared" si="9"/>
        <v>#N/A</v>
      </c>
      <c r="AW29" s="271" t="s">
        <v>15</v>
      </c>
      <c r="AX29" s="278">
        <f>G29*'Conversion unités'!G62/1000</f>
        <v>0</v>
      </c>
      <c r="AY29" s="279">
        <f t="shared" si="10"/>
        <v>0</v>
      </c>
      <c r="AZ29" s="279">
        <f>AK29*'Conversion unités'!G62</f>
        <v>0</v>
      </c>
      <c r="BA29" s="279">
        <f>AL29*'Conversion unités'!G62</f>
        <v>0</v>
      </c>
      <c r="BB29" s="279">
        <f t="shared" si="11"/>
        <v>0</v>
      </c>
      <c r="BC29" s="275" t="e">
        <f t="shared" si="12"/>
        <v>#N/A</v>
      </c>
    </row>
    <row r="30" spans="1:55" s="194" customFormat="1" ht="15.75" customHeight="1" x14ac:dyDescent="0.35">
      <c r="A30" s="156"/>
      <c r="B30" s="122"/>
      <c r="C30" s="261"/>
      <c r="D30" s="337"/>
      <c r="E30" s="792" t="s">
        <v>128</v>
      </c>
      <c r="F30" s="793"/>
      <c r="G30" s="802"/>
      <c r="H30" s="803"/>
      <c r="I30" s="536"/>
      <c r="J30" s="495">
        <f>'Scénarios prix énergie'!D141</f>
        <v>47.300000000000004</v>
      </c>
      <c r="K30" s="496" t="str">
        <f t="shared" si="0"/>
        <v/>
      </c>
      <c r="L30" s="339" t="s">
        <v>173</v>
      </c>
      <c r="M30" s="122"/>
      <c r="N30" s="122"/>
      <c r="O30" s="157"/>
      <c r="P30" s="157"/>
      <c r="Q30" s="157"/>
      <c r="R30" s="122"/>
      <c r="S30" s="157"/>
      <c r="T30" s="157"/>
      <c r="U30" s="157"/>
      <c r="V30" s="157"/>
      <c r="W30" s="157"/>
      <c r="X30" s="157"/>
      <c r="Y30" s="157"/>
      <c r="Z30" s="157"/>
      <c r="AA30" s="195"/>
      <c r="AB30" s="195"/>
      <c r="AE30" s="271" t="s">
        <v>128</v>
      </c>
      <c r="AF30" s="272">
        <f t="shared" si="1"/>
        <v>47.300000000000004</v>
      </c>
      <c r="AG30" s="195"/>
      <c r="AH30" s="271" t="s">
        <v>128</v>
      </c>
      <c r="AI30" s="273">
        <f t="shared" si="2"/>
        <v>0</v>
      </c>
      <c r="AJ30" s="274">
        <f t="shared" si="3"/>
        <v>0</v>
      </c>
      <c r="AK30" s="274">
        <f>SUMIF('Plan d''actions'!$E$7:$E$16,"=Fioul domestique",'Plan d''actions'!$F$7:$F$16)</f>
        <v>0</v>
      </c>
      <c r="AL30" s="274">
        <f>SUMIF('Plan d''actions'!$E$7:$E$16,"=Fioul domestique",'Plan d''actions'!$F$7:$F$16)</f>
        <v>0</v>
      </c>
      <c r="AM30" s="274">
        <f t="shared" si="4"/>
        <v>0</v>
      </c>
      <c r="AN30" s="275" t="e">
        <f t="shared" si="5"/>
        <v>#N/A</v>
      </c>
      <c r="AO30" s="195"/>
      <c r="AP30" s="195"/>
      <c r="AQ30" s="271" t="s">
        <v>128</v>
      </c>
      <c r="AR30" s="276">
        <f t="shared" si="6"/>
        <v>0</v>
      </c>
      <c r="AS30" s="277">
        <f t="shared" si="7"/>
        <v>0</v>
      </c>
      <c r="AT30" s="277">
        <f t="shared" si="8"/>
        <v>0</v>
      </c>
      <c r="AU30" s="275" t="e">
        <f t="shared" si="9"/>
        <v>#N/A</v>
      </c>
      <c r="AW30" s="271" t="s">
        <v>128</v>
      </c>
      <c r="AX30" s="278">
        <f>G30*'Conversion unités'!G63/1000</f>
        <v>0</v>
      </c>
      <c r="AY30" s="279">
        <f t="shared" si="10"/>
        <v>0</v>
      </c>
      <c r="AZ30" s="279">
        <f>AK30*'Conversion unités'!G63</f>
        <v>0</v>
      </c>
      <c r="BA30" s="279">
        <f>AL30*'Conversion unités'!G63</f>
        <v>0</v>
      </c>
      <c r="BB30" s="279">
        <f t="shared" si="11"/>
        <v>0</v>
      </c>
      <c r="BC30" s="275" t="e">
        <f t="shared" si="12"/>
        <v>#N/A</v>
      </c>
    </row>
    <row r="31" spans="1:55" s="194" customFormat="1" ht="15.75" customHeight="1" x14ac:dyDescent="0.35">
      <c r="A31" s="156"/>
      <c r="B31" s="122"/>
      <c r="C31" s="261"/>
      <c r="D31" s="337"/>
      <c r="E31" s="792" t="s">
        <v>18</v>
      </c>
      <c r="F31" s="793"/>
      <c r="G31" s="802"/>
      <c r="H31" s="803"/>
      <c r="I31" s="536"/>
      <c r="J31" s="495">
        <f>'Scénarios prix énergie'!D142</f>
        <v>95.311626666875682</v>
      </c>
      <c r="K31" s="496" t="str">
        <f t="shared" si="0"/>
        <v/>
      </c>
      <c r="L31" s="339" t="s">
        <v>171</v>
      </c>
      <c r="M31" s="122"/>
      <c r="N31" s="122"/>
      <c r="O31" s="157"/>
      <c r="P31" s="157"/>
      <c r="Q31" s="157"/>
      <c r="R31" s="122"/>
      <c r="S31" s="157"/>
      <c r="T31" s="157"/>
      <c r="U31" s="157"/>
      <c r="V31" s="157"/>
      <c r="W31" s="157"/>
      <c r="X31" s="157"/>
      <c r="Y31" s="157"/>
      <c r="Z31" s="157"/>
      <c r="AA31" s="195"/>
      <c r="AB31" s="195"/>
      <c r="AE31" s="271" t="s">
        <v>18</v>
      </c>
      <c r="AF31" s="272">
        <f t="shared" si="1"/>
        <v>95.311626666875682</v>
      </c>
      <c r="AG31" s="195"/>
      <c r="AH31" s="271" t="s">
        <v>18</v>
      </c>
      <c r="AI31" s="273">
        <f t="shared" si="2"/>
        <v>0</v>
      </c>
      <c r="AJ31" s="274">
        <f t="shared" si="3"/>
        <v>0</v>
      </c>
      <c r="AK31" s="274">
        <f>SUMIF('Plan d''actions'!$E$7:$E$16,"=GPL",'Plan d''actions'!$F$7:$F$16)</f>
        <v>0</v>
      </c>
      <c r="AL31" s="274">
        <f>SUMIF('Plan d''actions'!$G$7:$G$16,"=GPL",'Plan d''actions'!$H$7:$H$16)</f>
        <v>0</v>
      </c>
      <c r="AM31" s="274">
        <f t="shared" si="4"/>
        <v>0</v>
      </c>
      <c r="AN31" s="275" t="e">
        <f t="shared" si="5"/>
        <v>#N/A</v>
      </c>
      <c r="AO31" s="195"/>
      <c r="AP31" s="195"/>
      <c r="AQ31" s="271" t="s">
        <v>18</v>
      </c>
      <c r="AR31" s="276">
        <f t="shared" si="6"/>
        <v>0</v>
      </c>
      <c r="AS31" s="277">
        <f t="shared" si="7"/>
        <v>0</v>
      </c>
      <c r="AT31" s="277">
        <f t="shared" si="8"/>
        <v>0</v>
      </c>
      <c r="AU31" s="275" t="e">
        <f t="shared" si="9"/>
        <v>#N/A</v>
      </c>
      <c r="AW31" s="271" t="s">
        <v>18</v>
      </c>
      <c r="AX31" s="278">
        <f>G31*'Conversion unités'!G64/1000</f>
        <v>0</v>
      </c>
      <c r="AY31" s="279">
        <f t="shared" si="10"/>
        <v>0</v>
      </c>
      <c r="AZ31" s="279">
        <f>AK31*'Conversion unités'!G64</f>
        <v>0</v>
      </c>
      <c r="BA31" s="279">
        <f>AL31*'Conversion unités'!G64</f>
        <v>0</v>
      </c>
      <c r="BB31" s="279">
        <f t="shared" si="11"/>
        <v>0</v>
      </c>
      <c r="BC31" s="275" t="e">
        <f t="shared" si="12"/>
        <v>#N/A</v>
      </c>
    </row>
    <row r="32" spans="1:55" s="194" customFormat="1" ht="15.75" customHeight="1" x14ac:dyDescent="0.35">
      <c r="A32" s="156"/>
      <c r="B32" s="122"/>
      <c r="C32" s="261"/>
      <c r="D32" s="337"/>
      <c r="E32" s="792" t="s">
        <v>129</v>
      </c>
      <c r="F32" s="793"/>
      <c r="G32" s="802"/>
      <c r="H32" s="803"/>
      <c r="I32" s="536"/>
      <c r="J32" s="495">
        <f>'Scénarios prix énergie'!D143</f>
        <v>17</v>
      </c>
      <c r="K32" s="496" t="str">
        <f t="shared" si="0"/>
        <v/>
      </c>
      <c r="L32" s="339" t="s">
        <v>184</v>
      </c>
      <c r="M32" s="122"/>
      <c r="N32" s="122"/>
      <c r="O32" s="157"/>
      <c r="P32" s="157"/>
      <c r="Q32" s="157"/>
      <c r="R32" s="122"/>
      <c r="S32" s="157"/>
      <c r="T32" s="157"/>
      <c r="U32" s="157"/>
      <c r="V32" s="157"/>
      <c r="W32" s="157"/>
      <c r="X32" s="157"/>
      <c r="Y32" s="157"/>
      <c r="Z32" s="157"/>
      <c r="AA32" s="195"/>
      <c r="AB32" s="195"/>
      <c r="AE32" s="271" t="s">
        <v>129</v>
      </c>
      <c r="AF32" s="272">
        <f t="shared" si="1"/>
        <v>17</v>
      </c>
      <c r="AG32" s="195"/>
      <c r="AH32" s="271" t="s">
        <v>129</v>
      </c>
      <c r="AI32" s="273">
        <f t="shared" si="2"/>
        <v>0</v>
      </c>
      <c r="AJ32" s="274">
        <f t="shared" si="3"/>
        <v>0</v>
      </c>
      <c r="AK32" s="274">
        <f>SUMIF('Plan d''actions'!$E$7:$E$16,"=Bois",'Plan d''actions'!$F$7:$F$16)</f>
        <v>0</v>
      </c>
      <c r="AL32" s="274">
        <f>SUMIF('Plan d''actions'!$G$7:$G$16,"=Bois",'Plan d''actions'!$H$7:$H$16)</f>
        <v>0</v>
      </c>
      <c r="AM32" s="274">
        <f t="shared" si="4"/>
        <v>0</v>
      </c>
      <c r="AN32" s="275" t="e">
        <f t="shared" si="5"/>
        <v>#N/A</v>
      </c>
      <c r="AO32" s="195"/>
      <c r="AP32" s="195"/>
      <c r="AQ32" s="271" t="s">
        <v>129</v>
      </c>
      <c r="AR32" s="276">
        <f t="shared" si="6"/>
        <v>0</v>
      </c>
      <c r="AS32" s="277">
        <f t="shared" si="7"/>
        <v>0</v>
      </c>
      <c r="AT32" s="277">
        <f t="shared" si="8"/>
        <v>0</v>
      </c>
      <c r="AU32" s="275" t="e">
        <f t="shared" si="9"/>
        <v>#N/A</v>
      </c>
      <c r="AW32" s="271" t="s">
        <v>129</v>
      </c>
      <c r="AX32" s="278">
        <f>G32*'Conversion unités'!G65/1000</f>
        <v>0</v>
      </c>
      <c r="AY32" s="279">
        <f t="shared" si="10"/>
        <v>0</v>
      </c>
      <c r="AZ32" s="279">
        <f>AK32*'Conversion unités'!G65</f>
        <v>0</v>
      </c>
      <c r="BA32" s="279">
        <f>AL32*'Conversion unités'!G65</f>
        <v>0</v>
      </c>
      <c r="BB32" s="279">
        <f t="shared" si="11"/>
        <v>0</v>
      </c>
      <c r="BC32" s="275" t="e">
        <f t="shared" si="12"/>
        <v>#N/A</v>
      </c>
    </row>
    <row r="33" spans="1:55" s="194" customFormat="1" ht="15.75" customHeight="1" x14ac:dyDescent="0.35">
      <c r="A33" s="156"/>
      <c r="B33" s="122"/>
      <c r="C33" s="261"/>
      <c r="D33" s="337"/>
      <c r="E33" s="792" t="s">
        <v>130</v>
      </c>
      <c r="F33" s="793"/>
      <c r="G33" s="828"/>
      <c r="H33" s="803"/>
      <c r="I33" s="536"/>
      <c r="J33" s="495">
        <f ca="1">'Scénarios prix énergie'!D144</f>
        <v>43.040935672514621</v>
      </c>
      <c r="K33" s="496" t="str">
        <f t="shared" si="0"/>
        <v/>
      </c>
      <c r="L33" s="339" t="s">
        <v>185</v>
      </c>
      <c r="M33" s="823" t="s">
        <v>378</v>
      </c>
      <c r="N33" s="824"/>
      <c r="O33" s="824"/>
      <c r="P33" s="157"/>
      <c r="Q33" s="157"/>
      <c r="R33" s="122"/>
      <c r="S33" s="157"/>
      <c r="T33" s="157"/>
      <c r="U33" s="157"/>
      <c r="V33" s="157"/>
      <c r="W33" s="157"/>
      <c r="X33" s="157"/>
      <c r="Y33" s="157"/>
      <c r="Z33" s="157"/>
      <c r="AA33" s="195"/>
      <c r="AB33" s="195"/>
      <c r="AE33" s="271" t="s">
        <v>130</v>
      </c>
      <c r="AF33" s="272">
        <f t="shared" ca="1" si="1"/>
        <v>43.040935672514621</v>
      </c>
      <c r="AG33" s="195"/>
      <c r="AH33" s="271" t="s">
        <v>130</v>
      </c>
      <c r="AI33" s="273">
        <f t="shared" si="2"/>
        <v>0</v>
      </c>
      <c r="AJ33" s="274">
        <f t="shared" si="3"/>
        <v>0</v>
      </c>
      <c r="AK33" s="274">
        <f>SUMIF('Plan d''actions'!$E$7:$E$16,"=Vapeur",'Plan d''actions'!$F$7:$F$16)</f>
        <v>0</v>
      </c>
      <c r="AL33" s="274">
        <f>SUMIF('Plan d''actions'!$G$7:$G$16,"=Vapeur",'Plan d''actions'!$H$7:$H$16)</f>
        <v>0</v>
      </c>
      <c r="AM33" s="274">
        <f t="shared" si="4"/>
        <v>0</v>
      </c>
      <c r="AN33" s="275" t="e">
        <f t="shared" si="5"/>
        <v>#N/A</v>
      </c>
      <c r="AO33" s="195"/>
      <c r="AP33" s="195"/>
      <c r="AQ33" s="271" t="s">
        <v>130</v>
      </c>
      <c r="AR33" s="276">
        <f t="shared" ca="1" si="6"/>
        <v>0</v>
      </c>
      <c r="AS33" s="277">
        <f t="shared" ca="1" si="7"/>
        <v>0</v>
      </c>
      <c r="AT33" s="277">
        <f t="shared" ca="1" si="8"/>
        <v>0</v>
      </c>
      <c r="AU33" s="275" t="e">
        <f t="shared" ca="1" si="9"/>
        <v>#N/A</v>
      </c>
      <c r="AW33" s="271" t="s">
        <v>130</v>
      </c>
      <c r="AX33" s="278">
        <f>G33*'Conversion unités'!G66/1000</f>
        <v>0</v>
      </c>
      <c r="AY33" s="279">
        <f t="shared" si="10"/>
        <v>0</v>
      </c>
      <c r="AZ33" s="279">
        <f>AK33*'Conversion unités'!G66</f>
        <v>0</v>
      </c>
      <c r="BA33" s="279">
        <f>AL33*'Conversion unités'!G66</f>
        <v>0</v>
      </c>
      <c r="BB33" s="279">
        <f t="shared" si="11"/>
        <v>0</v>
      </c>
      <c r="BC33" s="275" t="e">
        <f t="shared" si="12"/>
        <v>#N/A</v>
      </c>
    </row>
    <row r="34" spans="1:55" s="194" customFormat="1" ht="15.75" customHeight="1" thickBot="1" x14ac:dyDescent="0.4">
      <c r="A34" s="156"/>
      <c r="B34" s="122"/>
      <c r="C34" s="261"/>
      <c r="D34" s="337"/>
      <c r="E34" s="794" t="s">
        <v>131</v>
      </c>
      <c r="F34" s="795"/>
      <c r="G34" s="819"/>
      <c r="H34" s="820"/>
      <c r="I34" s="537"/>
      <c r="J34" s="497"/>
      <c r="K34" s="498" t="str">
        <f t="shared" si="0"/>
        <v/>
      </c>
      <c r="L34" s="338"/>
      <c r="M34" s="823"/>
      <c r="N34" s="824"/>
      <c r="O34" s="824"/>
      <c r="P34" s="157"/>
      <c r="Q34" s="157"/>
      <c r="R34" s="122"/>
      <c r="S34" s="157"/>
      <c r="T34" s="157"/>
      <c r="U34" s="157"/>
      <c r="V34" s="157"/>
      <c r="W34" s="157"/>
      <c r="X34" s="157"/>
      <c r="Y34" s="157"/>
      <c r="Z34" s="157"/>
      <c r="AA34" s="195"/>
      <c r="AB34" s="195"/>
      <c r="AE34" s="280" t="s">
        <v>131</v>
      </c>
      <c r="AF34" s="281">
        <f t="shared" si="1"/>
        <v>0</v>
      </c>
      <c r="AG34" s="195"/>
      <c r="AH34" s="280" t="s">
        <v>131</v>
      </c>
      <c r="AI34" s="282">
        <f t="shared" si="2"/>
        <v>0</v>
      </c>
      <c r="AJ34" s="283">
        <f t="shared" si="3"/>
        <v>0</v>
      </c>
      <c r="AK34" s="283">
        <f>SUMIF('Plan d''actions'!$E$7:$E$16,"=Autre",'Plan d''actions'!$F$7:$F$16)</f>
        <v>0</v>
      </c>
      <c r="AL34" s="283">
        <f>SUMIF('Plan d''actions'!$G$7:$G$16,"=Autre",'Plan d''actions'!$H$7:$H$16)</f>
        <v>0</v>
      </c>
      <c r="AM34" s="283">
        <f t="shared" si="4"/>
        <v>0</v>
      </c>
      <c r="AN34" s="284" t="e">
        <f t="shared" si="5"/>
        <v>#N/A</v>
      </c>
      <c r="AO34" s="195"/>
      <c r="AP34" s="195"/>
      <c r="AQ34" s="280" t="s">
        <v>131</v>
      </c>
      <c r="AR34" s="285">
        <f t="shared" si="6"/>
        <v>0</v>
      </c>
      <c r="AS34" s="286">
        <f t="shared" si="7"/>
        <v>0</v>
      </c>
      <c r="AT34" s="286">
        <f t="shared" si="8"/>
        <v>0</v>
      </c>
      <c r="AU34" s="284" t="e">
        <f t="shared" si="9"/>
        <v>#N/A</v>
      </c>
      <c r="AW34" s="280" t="s">
        <v>131</v>
      </c>
      <c r="AX34" s="287">
        <f>G34*'Conversion unités'!G67/1000</f>
        <v>0</v>
      </c>
      <c r="AY34" s="288">
        <f t="shared" si="10"/>
        <v>0</v>
      </c>
      <c r="AZ34" s="288">
        <f>AK34*'Conversion unités'!G67</f>
        <v>0</v>
      </c>
      <c r="BA34" s="288">
        <f>AL34*'Conversion unités'!G67</f>
        <v>0</v>
      </c>
      <c r="BB34" s="288">
        <f t="shared" si="11"/>
        <v>0</v>
      </c>
      <c r="BC34" s="284" t="e">
        <f t="shared" si="12"/>
        <v>#N/A</v>
      </c>
    </row>
    <row r="35" spans="1:55" s="118" customFormat="1" ht="21" customHeight="1" thickBot="1" x14ac:dyDescent="0.35">
      <c r="A35" s="37"/>
      <c r="B35" s="36"/>
      <c r="C35" s="40"/>
      <c r="D35" s="335"/>
      <c r="E35" s="817" t="s">
        <v>119</v>
      </c>
      <c r="F35" s="818"/>
      <c r="G35" s="821">
        <f>IF(SUM(G27:G34)=0,"",SUM(G27:G34))</f>
        <v>30000</v>
      </c>
      <c r="H35" s="822"/>
      <c r="I35" s="311"/>
      <c r="J35" s="311"/>
      <c r="K35" s="312">
        <f ca="1">IF(SUM(K27:K34)=0,"",SUM(K27:K34))</f>
        <v>1654777.7777777778</v>
      </c>
      <c r="L35" s="336"/>
      <c r="M35" s="823"/>
      <c r="N35" s="824"/>
      <c r="O35" s="824"/>
      <c r="P35" s="146"/>
      <c r="Q35" s="146"/>
      <c r="R35" s="36"/>
      <c r="S35" s="146"/>
      <c r="T35" s="146"/>
      <c r="U35" s="146"/>
      <c r="V35" s="146"/>
      <c r="W35" s="146"/>
      <c r="X35" s="146"/>
      <c r="Y35" s="146"/>
      <c r="Z35" s="146"/>
      <c r="AA35" s="152"/>
      <c r="AB35" s="152"/>
      <c r="AE35" s="152"/>
      <c r="AF35" s="152"/>
      <c r="AG35" s="152"/>
      <c r="AH35" s="187" t="s">
        <v>108</v>
      </c>
      <c r="AI35" s="188">
        <f>SUM(AI27:AI34)</f>
        <v>30000</v>
      </c>
      <c r="AJ35" s="188">
        <f>SUM(AJ27:AJ34)</f>
        <v>25852</v>
      </c>
      <c r="AK35" s="189">
        <f>SUM(AK27:AK34)</f>
        <v>2922</v>
      </c>
      <c r="AL35" s="189">
        <f>SUM(AL27:AL34)</f>
        <v>1226</v>
      </c>
      <c r="AM35" s="189">
        <f>SUM(AM27:AM34)</f>
        <v>4148</v>
      </c>
      <c r="AN35" s="152"/>
      <c r="AO35" s="152"/>
      <c r="AP35" s="152"/>
      <c r="AQ35" s="187" t="s">
        <v>108</v>
      </c>
      <c r="AR35" s="190">
        <f ca="1">SUM(AR27:AR34)</f>
        <v>1654777.7777777778</v>
      </c>
      <c r="AS35" s="190">
        <f ca="1">SUM(AS27:AS34)</f>
        <v>1414446.7111111111</v>
      </c>
      <c r="AT35" s="191">
        <f ca="1">SUM(AT27:AT34)</f>
        <v>240331.06666666665</v>
      </c>
      <c r="AU35" s="152"/>
      <c r="AW35" s="187" t="s">
        <v>108</v>
      </c>
      <c r="AX35" s="192">
        <f>SUM(AX27:AX34)</f>
        <v>4940</v>
      </c>
      <c r="AY35" s="192">
        <f>SUM(AY27:AY34)</f>
        <v>4289.5519999999997</v>
      </c>
      <c r="AZ35" s="193">
        <f>SUM(AZ27:AZ34)/1000</f>
        <v>499.06400000000002</v>
      </c>
      <c r="BA35" s="193">
        <f>SUM(BA27:BA34)/1000</f>
        <v>151.38399999999999</v>
      </c>
      <c r="BB35" s="193">
        <f>SUM(BB27:BB34)</f>
        <v>650.44799999999998</v>
      </c>
      <c r="BC35" s="152"/>
    </row>
    <row r="36" spans="1:55" s="118" customFormat="1" ht="6.75" customHeight="1" x14ac:dyDescent="0.3">
      <c r="A36" s="37"/>
      <c r="B36" s="36"/>
      <c r="C36" s="40"/>
      <c r="D36" s="340"/>
      <c r="E36" s="341"/>
      <c r="F36" s="341"/>
      <c r="G36" s="341"/>
      <c r="H36" s="342"/>
      <c r="I36" s="342"/>
      <c r="J36" s="341"/>
      <c r="K36" s="341"/>
      <c r="L36" s="343"/>
      <c r="M36" s="823"/>
      <c r="N36" s="824"/>
      <c r="O36" s="824"/>
      <c r="P36" s="146"/>
      <c r="Q36" s="146"/>
      <c r="R36" s="146"/>
      <c r="S36" s="146"/>
      <c r="T36" s="146"/>
      <c r="U36" s="146"/>
      <c r="V36" s="146"/>
      <c r="W36" s="146"/>
      <c r="X36" s="146"/>
      <c r="Y36" s="146"/>
      <c r="Z36" s="146"/>
      <c r="AA36" s="152"/>
      <c r="AB36" s="152"/>
      <c r="AD36" s="152"/>
      <c r="AE36" s="152"/>
      <c r="AF36" s="152"/>
      <c r="AG36" s="152"/>
      <c r="AH36" s="152"/>
      <c r="AI36" s="152"/>
      <c r="AJ36" s="152"/>
      <c r="AK36" s="152"/>
      <c r="AL36" s="152"/>
      <c r="AM36" s="152"/>
      <c r="AN36" s="152"/>
      <c r="AO36" s="152"/>
      <c r="AP36" s="152"/>
      <c r="AQ36" s="152"/>
      <c r="AR36" s="152"/>
      <c r="AS36" s="152"/>
      <c r="AT36" s="152"/>
      <c r="AU36" s="152"/>
    </row>
    <row r="37" spans="1:55" s="118" customFormat="1" x14ac:dyDescent="0.3">
      <c r="A37" s="37"/>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52"/>
      <c r="AB37" s="152"/>
      <c r="AD37" s="152"/>
      <c r="AE37" s="152"/>
      <c r="AF37" s="152"/>
      <c r="AG37" s="152"/>
      <c r="AH37" s="152"/>
      <c r="AI37" s="152"/>
      <c r="AJ37" s="152"/>
      <c r="AK37" s="152"/>
      <c r="AL37" s="152"/>
      <c r="AM37" s="152"/>
      <c r="AN37" s="152"/>
      <c r="AO37" s="152"/>
      <c r="AP37" s="152"/>
      <c r="AQ37" s="152"/>
      <c r="AR37" s="152"/>
      <c r="AS37" s="152"/>
      <c r="AT37" s="152"/>
      <c r="AU37" s="152"/>
    </row>
    <row r="38" spans="1:55" s="118" customFormat="1" ht="18.75" customHeight="1" x14ac:dyDescent="0.4">
      <c r="A38" s="37"/>
      <c r="B38" s="36"/>
      <c r="D38" s="348"/>
      <c r="E38" s="349" t="s">
        <v>321</v>
      </c>
      <c r="F38" s="349"/>
      <c r="G38" s="350"/>
      <c r="H38" s="350"/>
      <c r="I38" s="350"/>
      <c r="J38" s="350"/>
      <c r="K38" s="350"/>
      <c r="L38" s="350"/>
      <c r="M38" s="350"/>
      <c r="N38" s="351"/>
      <c r="O38" s="146"/>
      <c r="P38" s="146"/>
      <c r="Q38" s="146"/>
      <c r="R38" s="146"/>
      <c r="S38" s="146"/>
      <c r="U38" s="146"/>
      <c r="V38" s="146"/>
      <c r="W38" s="146"/>
      <c r="X38" s="146"/>
      <c r="Z38" s="36"/>
      <c r="AC38" s="38"/>
      <c r="AD38" s="152"/>
      <c r="AE38" s="152"/>
      <c r="AF38" s="152"/>
      <c r="AG38" s="152"/>
      <c r="AH38" s="152"/>
      <c r="AI38" s="152"/>
      <c r="AJ38" s="152"/>
      <c r="AK38" s="152"/>
      <c r="AL38" s="152"/>
      <c r="AM38" s="152"/>
      <c r="AN38" s="152"/>
      <c r="AO38" s="152"/>
      <c r="AP38" s="152"/>
      <c r="AQ38" s="152"/>
      <c r="AR38" s="152"/>
      <c r="AS38" s="152"/>
      <c r="AT38" s="152"/>
      <c r="AU38" s="152"/>
    </row>
    <row r="39" spans="1:55" s="118" customFormat="1" ht="15.5" x14ac:dyDescent="0.35">
      <c r="A39" s="37"/>
      <c r="B39" s="36"/>
      <c r="D39" s="352"/>
      <c r="E39" s="353"/>
      <c r="F39" s="353"/>
      <c r="G39" s="353"/>
      <c r="H39" s="353"/>
      <c r="I39" s="353"/>
      <c r="J39" s="353"/>
      <c r="K39" s="353"/>
      <c r="L39" s="353"/>
      <c r="M39" s="353"/>
      <c r="N39" s="354"/>
      <c r="O39" s="146"/>
      <c r="P39" s="146"/>
      <c r="Q39" s="146"/>
      <c r="R39" s="146"/>
      <c r="S39" s="146"/>
      <c r="U39" s="146"/>
      <c r="V39" s="146"/>
      <c r="W39" s="146"/>
      <c r="X39" s="146"/>
      <c r="Z39" s="36"/>
      <c r="AC39" s="38"/>
      <c r="AD39" s="152"/>
      <c r="AE39" s="152"/>
      <c r="AF39" s="152"/>
      <c r="AG39" s="152"/>
      <c r="AH39" s="152"/>
      <c r="AI39" s="152"/>
      <c r="AJ39" s="152"/>
      <c r="AK39" s="152"/>
      <c r="AL39" s="152"/>
      <c r="AM39" s="152"/>
      <c r="AN39" s="152"/>
      <c r="AO39" s="152"/>
      <c r="AP39" s="152"/>
      <c r="AQ39" s="152"/>
      <c r="AR39" s="152"/>
      <c r="AS39" s="152"/>
      <c r="AT39" s="152"/>
      <c r="AU39" s="152"/>
    </row>
    <row r="40" spans="1:55" s="118" customFormat="1" ht="20.25" customHeight="1" x14ac:dyDescent="0.35">
      <c r="A40" s="37"/>
      <c r="B40" s="36"/>
      <c r="D40" s="337"/>
      <c r="E40" s="808" t="s">
        <v>237</v>
      </c>
      <c r="F40" s="808"/>
      <c r="G40" s="808"/>
      <c r="H40" s="45"/>
      <c r="I40" s="45"/>
      <c r="J40" s="45"/>
      <c r="K40" s="45"/>
      <c r="L40" s="45"/>
      <c r="M40" s="45"/>
      <c r="N40" s="336"/>
      <c r="O40" s="146"/>
      <c r="P40" s="146"/>
      <c r="Q40" s="146"/>
      <c r="R40" s="146"/>
      <c r="S40" s="146"/>
      <c r="U40" s="146"/>
      <c r="V40" s="146"/>
      <c r="W40" s="146"/>
      <c r="X40" s="146"/>
      <c r="Z40" s="36"/>
      <c r="AC40" s="38"/>
      <c r="AD40" s="152"/>
      <c r="AE40" s="152"/>
      <c r="AF40" s="152"/>
      <c r="AG40" s="152"/>
      <c r="AH40" s="152"/>
      <c r="AI40" s="152"/>
      <c r="AJ40" s="152"/>
      <c r="AK40" s="152"/>
      <c r="AL40" s="152"/>
      <c r="AM40" s="152"/>
      <c r="AN40" s="152"/>
      <c r="AO40" s="152"/>
      <c r="AP40" s="152"/>
      <c r="AQ40" s="152"/>
      <c r="AR40" s="152"/>
      <c r="AS40" s="152"/>
      <c r="AT40" s="152"/>
      <c r="AU40" s="152"/>
    </row>
    <row r="41" spans="1:55" s="118" customFormat="1" ht="26.5" customHeight="1" x14ac:dyDescent="0.35">
      <c r="A41" s="37"/>
      <c r="B41" s="36"/>
      <c r="D41" s="337"/>
      <c r="E41" s="829" t="s">
        <v>319</v>
      </c>
      <c r="F41" s="830"/>
      <c r="G41" s="538">
        <v>20</v>
      </c>
      <c r="H41" s="45"/>
      <c r="I41" s="42" t="str">
        <f>"Scénario de prix de l'énergie sur "&amp;'Paramètres et Résultats'!$G$41&amp;" ans - Scénario "&amp;'Paramètres et Résultats'!$G$46&amp;" - €/MWh"</f>
        <v>Scénario de prix de l'énergie sur 20 ans - Scénario Personnalisé - €/MWh</v>
      </c>
      <c r="J41" s="45"/>
      <c r="K41" s="45"/>
      <c r="L41" s="45"/>
      <c r="M41" s="45"/>
      <c r="N41" s="336"/>
      <c r="O41" s="146"/>
      <c r="P41" s="146"/>
      <c r="Q41" s="146"/>
      <c r="R41" s="146"/>
      <c r="S41" s="146"/>
      <c r="U41" s="146"/>
      <c r="V41" s="146"/>
      <c r="W41" s="146"/>
      <c r="X41" s="146"/>
      <c r="Z41" s="36"/>
      <c r="AC41" s="38"/>
      <c r="AD41" s="152"/>
      <c r="AE41" s="152"/>
      <c r="AF41" s="152"/>
      <c r="AG41" s="152"/>
      <c r="AH41" s="152"/>
      <c r="AI41" s="152"/>
      <c r="AJ41" s="152"/>
      <c r="AK41" s="152"/>
      <c r="AL41" s="152"/>
      <c r="AM41" s="152"/>
      <c r="AN41" s="152"/>
      <c r="AO41" s="152"/>
      <c r="AP41" s="152"/>
      <c r="AQ41" s="152"/>
      <c r="AR41" s="152"/>
      <c r="AS41" s="152"/>
      <c r="AT41" s="152"/>
      <c r="AU41" s="152"/>
    </row>
    <row r="42" spans="1:55" s="118" customFormat="1" ht="15.5" x14ac:dyDescent="0.35">
      <c r="A42" s="37"/>
      <c r="B42" s="36"/>
      <c r="D42" s="337"/>
      <c r="E42" s="831" t="s">
        <v>164</v>
      </c>
      <c r="F42" s="832"/>
      <c r="G42" s="539">
        <v>0.1</v>
      </c>
      <c r="H42" s="45"/>
      <c r="I42" s="45"/>
      <c r="J42" s="45"/>
      <c r="K42" s="45"/>
      <c r="L42" s="45"/>
      <c r="M42" s="45"/>
      <c r="N42" s="336"/>
      <c r="O42" s="146"/>
      <c r="P42" s="146"/>
      <c r="Q42" s="146"/>
      <c r="R42" s="146"/>
      <c r="S42" s="146"/>
      <c r="U42" s="146"/>
      <c r="V42" s="146"/>
      <c r="W42" s="146"/>
      <c r="X42" s="146"/>
      <c r="Z42" s="36"/>
      <c r="AC42" s="38"/>
      <c r="AD42" s="152"/>
      <c r="AE42" s="152"/>
      <c r="AF42" s="152"/>
      <c r="AG42" s="152"/>
      <c r="AH42" s="152"/>
      <c r="AI42" s="152"/>
      <c r="AJ42" s="152"/>
      <c r="AK42" s="152"/>
      <c r="AL42" s="152"/>
      <c r="AM42" s="152"/>
      <c r="AN42" s="152"/>
      <c r="AO42" s="152"/>
      <c r="AP42" s="152"/>
      <c r="AQ42" s="152"/>
      <c r="AR42" s="152"/>
      <c r="AS42" s="152"/>
      <c r="AT42" s="152"/>
      <c r="AU42" s="152"/>
    </row>
    <row r="43" spans="1:55" s="118" customFormat="1" ht="26.5" customHeight="1" x14ac:dyDescent="0.35">
      <c r="A43" s="37"/>
      <c r="B43" s="36"/>
      <c r="D43" s="337"/>
      <c r="E43" s="833" t="s">
        <v>320</v>
      </c>
      <c r="F43" s="834"/>
      <c r="G43" s="540">
        <v>3</v>
      </c>
      <c r="H43" s="45"/>
      <c r="I43" s="45"/>
      <c r="J43" s="45"/>
      <c r="K43" s="45"/>
      <c r="L43" s="45"/>
      <c r="M43" s="45"/>
      <c r="N43" s="336"/>
      <c r="O43" s="146"/>
      <c r="P43" s="146"/>
      <c r="Q43" s="146"/>
      <c r="R43" s="146"/>
      <c r="S43" s="146"/>
      <c r="U43" s="146"/>
      <c r="V43" s="146"/>
      <c r="W43" s="146"/>
      <c r="X43" s="146"/>
      <c r="Z43" s="36"/>
      <c r="AC43" s="38"/>
      <c r="AD43" s="152"/>
      <c r="AE43" s="152"/>
      <c r="AF43" s="152"/>
      <c r="AG43" s="152"/>
      <c r="AH43" s="152"/>
      <c r="AI43" s="152"/>
      <c r="AJ43" s="152"/>
      <c r="AK43" s="152"/>
      <c r="AL43" s="152"/>
      <c r="AM43" s="152"/>
      <c r="AN43" s="152"/>
      <c r="AO43" s="152"/>
      <c r="AP43" s="152"/>
      <c r="AQ43" s="152"/>
      <c r="AR43" s="152"/>
      <c r="AS43" s="152"/>
      <c r="AT43" s="152"/>
      <c r="AU43" s="152"/>
    </row>
    <row r="44" spans="1:55" s="118" customFormat="1" ht="15.5" x14ac:dyDescent="0.35">
      <c r="A44" s="37"/>
      <c r="B44" s="36"/>
      <c r="D44" s="337"/>
      <c r="E44" s="45"/>
      <c r="F44" s="45"/>
      <c r="G44" s="45"/>
      <c r="H44" s="45"/>
      <c r="I44" s="45"/>
      <c r="J44" s="45"/>
      <c r="K44" s="45"/>
      <c r="L44" s="45"/>
      <c r="M44" s="45"/>
      <c r="N44" s="336"/>
      <c r="O44" s="146"/>
      <c r="P44" s="146"/>
      <c r="Q44" s="146"/>
      <c r="R44" s="146"/>
      <c r="S44" s="146"/>
      <c r="U44" s="146"/>
      <c r="V44" s="146"/>
      <c r="W44" s="146"/>
      <c r="X44" s="146"/>
      <c r="Z44" s="36"/>
      <c r="AC44" s="38"/>
      <c r="AD44" s="152"/>
      <c r="AE44" s="152"/>
      <c r="AF44" s="152"/>
      <c r="AG44" s="152"/>
      <c r="AH44" s="152"/>
      <c r="AI44" s="152"/>
      <c r="AJ44" s="152"/>
      <c r="AK44" s="152"/>
      <c r="AL44" s="152"/>
      <c r="AM44" s="152"/>
      <c r="AN44" s="152"/>
      <c r="AO44" s="152"/>
      <c r="AP44" s="152"/>
      <c r="AQ44" s="152"/>
      <c r="AR44" s="152"/>
      <c r="AS44" s="152"/>
      <c r="AT44" s="152"/>
      <c r="AU44" s="152"/>
    </row>
    <row r="45" spans="1:55" s="118" customFormat="1" ht="36" customHeight="1" x14ac:dyDescent="0.35">
      <c r="A45" s="37"/>
      <c r="B45" s="36"/>
      <c r="D45" s="337"/>
      <c r="E45" s="809" t="s">
        <v>313</v>
      </c>
      <c r="F45" s="809"/>
      <c r="G45" s="809"/>
      <c r="H45" s="45"/>
      <c r="I45" s="45"/>
      <c r="J45" s="45"/>
      <c r="K45" s="45"/>
      <c r="L45" s="45"/>
      <c r="M45" s="45"/>
      <c r="N45" s="336"/>
      <c r="O45" s="146"/>
      <c r="P45" s="146"/>
      <c r="Q45" s="146"/>
      <c r="R45" s="146"/>
      <c r="S45" s="146"/>
      <c r="U45" s="146"/>
      <c r="V45" s="146"/>
      <c r="W45" s="146"/>
      <c r="X45" s="146"/>
      <c r="Z45" s="36"/>
      <c r="AC45" s="38"/>
      <c r="AD45" s="152"/>
      <c r="AE45" s="152"/>
      <c r="AF45" s="152"/>
      <c r="AG45" s="152"/>
      <c r="AH45" s="152"/>
      <c r="AI45" s="152"/>
      <c r="AJ45" s="152"/>
      <c r="AK45" s="152"/>
      <c r="AL45" s="152"/>
      <c r="AM45" s="152"/>
      <c r="AN45" s="152"/>
      <c r="AO45" s="152"/>
      <c r="AP45" s="152"/>
      <c r="AQ45" s="152"/>
      <c r="AR45" s="152"/>
      <c r="AS45" s="152"/>
      <c r="AT45" s="152"/>
      <c r="AU45" s="152"/>
    </row>
    <row r="46" spans="1:55" s="194" customFormat="1" ht="26.5" customHeight="1" x14ac:dyDescent="0.3">
      <c r="A46" s="156"/>
      <c r="B46" s="36"/>
      <c r="D46" s="337"/>
      <c r="E46" s="835" t="s">
        <v>163</v>
      </c>
      <c r="F46" s="836"/>
      <c r="G46" s="541" t="s">
        <v>239</v>
      </c>
      <c r="H46" s="119"/>
      <c r="I46" s="119"/>
      <c r="J46" s="119"/>
      <c r="K46" s="119"/>
      <c r="L46" s="119"/>
      <c r="M46" s="119"/>
      <c r="N46" s="336"/>
      <c r="O46" s="146"/>
      <c r="P46" s="146"/>
      <c r="Q46" s="146"/>
      <c r="R46" s="146"/>
      <c r="S46" s="146"/>
      <c r="U46" s="146"/>
      <c r="V46" s="146"/>
      <c r="W46" s="146"/>
      <c r="X46" s="146"/>
      <c r="Z46" s="36"/>
      <c r="AB46" s="38"/>
      <c r="AC46" s="38"/>
      <c r="AD46" s="195"/>
      <c r="AE46" s="195"/>
      <c r="AF46" s="195"/>
      <c r="AG46" s="195"/>
      <c r="AH46" s="195"/>
      <c r="AI46" s="195"/>
      <c r="AJ46" s="195"/>
      <c r="AK46" s="195"/>
      <c r="AL46" s="195"/>
      <c r="AM46" s="195"/>
      <c r="AN46" s="195"/>
      <c r="AO46" s="196"/>
      <c r="AP46" s="195"/>
      <c r="AQ46" s="195"/>
      <c r="AR46" s="195"/>
      <c r="AS46" s="195"/>
      <c r="AT46" s="195"/>
    </row>
    <row r="47" spans="1:55" s="118" customFormat="1" x14ac:dyDescent="0.3">
      <c r="A47" s="37"/>
      <c r="B47" s="36"/>
      <c r="D47" s="337"/>
      <c r="E47" s="119"/>
      <c r="F47" s="119"/>
      <c r="G47" s="119"/>
      <c r="H47" s="119"/>
      <c r="I47" s="119"/>
      <c r="J47" s="119"/>
      <c r="K47" s="119"/>
      <c r="L47" s="119"/>
      <c r="M47" s="119"/>
      <c r="N47" s="336"/>
      <c r="O47" s="146"/>
      <c r="P47" s="146"/>
      <c r="Q47" s="146"/>
      <c r="R47" s="146"/>
      <c r="S47" s="146"/>
      <c r="U47" s="146"/>
      <c r="V47" s="146"/>
      <c r="W47" s="146"/>
      <c r="X47" s="146"/>
      <c r="Z47" s="36"/>
    </row>
    <row r="48" spans="1:55" s="118" customFormat="1" x14ac:dyDescent="0.3">
      <c r="A48" s="37"/>
      <c r="B48" s="36"/>
      <c r="D48" s="337"/>
      <c r="E48" s="119"/>
      <c r="F48" s="119"/>
      <c r="G48" s="119"/>
      <c r="H48" s="119"/>
      <c r="I48" s="119"/>
      <c r="J48" s="119"/>
      <c r="K48" s="119"/>
      <c r="L48" s="119"/>
      <c r="M48" s="119"/>
      <c r="N48" s="336"/>
      <c r="O48" s="146"/>
      <c r="P48" s="146"/>
      <c r="Q48" s="146"/>
      <c r="R48" s="146"/>
      <c r="S48" s="146"/>
      <c r="U48" s="146"/>
      <c r="V48" s="146"/>
      <c r="W48" s="146"/>
      <c r="X48" s="146"/>
      <c r="Z48" s="36"/>
    </row>
    <row r="49" spans="1:85" s="118" customFormat="1" x14ac:dyDescent="0.3">
      <c r="A49" s="37"/>
      <c r="B49" s="36"/>
      <c r="D49" s="340"/>
      <c r="E49" s="341"/>
      <c r="F49" s="341"/>
      <c r="G49" s="341"/>
      <c r="H49" s="342"/>
      <c r="I49" s="342"/>
      <c r="J49" s="341"/>
      <c r="K49" s="341"/>
      <c r="L49" s="341"/>
      <c r="M49" s="341"/>
      <c r="N49" s="343"/>
      <c r="O49" s="146"/>
      <c r="P49" s="146"/>
      <c r="Q49" s="146"/>
      <c r="R49" s="146"/>
      <c r="S49" s="146"/>
      <c r="U49" s="146"/>
      <c r="V49" s="146"/>
      <c r="W49" s="146"/>
      <c r="X49" s="146"/>
      <c r="Z49" s="36"/>
    </row>
    <row r="50" spans="1:85" x14ac:dyDescent="0.3">
      <c r="O50" s="146"/>
      <c r="P50" s="146"/>
      <c r="Q50" s="146"/>
      <c r="R50" s="146"/>
      <c r="S50" s="146"/>
      <c r="U50" s="146"/>
      <c r="V50" s="146"/>
      <c r="W50" s="146"/>
      <c r="X50" s="146"/>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row>
    <row r="51" spans="1:85" s="118" customFormat="1" ht="24" customHeight="1" thickBot="1" x14ac:dyDescent="0.4">
      <c r="A51" s="37"/>
      <c r="B51" s="305"/>
      <c r="C51" s="306" t="s">
        <v>314</v>
      </c>
      <c r="D51" s="307"/>
      <c r="E51" s="307"/>
      <c r="F51" s="307"/>
      <c r="G51" s="307"/>
      <c r="H51" s="307"/>
      <c r="I51" s="307"/>
      <c r="J51" s="308"/>
      <c r="K51" s="307"/>
      <c r="L51" s="307"/>
      <c r="M51" s="307"/>
      <c r="N51" s="307"/>
      <c r="O51" s="307"/>
      <c r="P51" s="307"/>
      <c r="Q51" s="307"/>
      <c r="R51" s="307"/>
      <c r="S51" s="309"/>
      <c r="U51" s="36"/>
      <c r="V51" s="36"/>
      <c r="W51" s="36"/>
      <c r="X51" s="36"/>
      <c r="Y51" s="36"/>
      <c r="Z51" s="36"/>
      <c r="AE51" s="152"/>
      <c r="AF51" s="152"/>
      <c r="AG51" s="152"/>
      <c r="AH51" s="152"/>
      <c r="AI51" s="152"/>
      <c r="AJ51" s="152"/>
      <c r="AK51" s="152"/>
      <c r="AL51" s="152"/>
      <c r="AM51" s="152"/>
      <c r="AN51" s="152"/>
      <c r="AO51" s="152"/>
      <c r="AP51" s="152"/>
      <c r="AQ51" s="152"/>
      <c r="AR51" s="152"/>
      <c r="AS51" s="152"/>
      <c r="AT51" s="152"/>
      <c r="AU51" s="152"/>
    </row>
    <row r="52" spans="1:85" s="118" customFormat="1" ht="9.75" customHeight="1" x14ac:dyDescent="0.3">
      <c r="A52" s="37"/>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52"/>
      <c r="AB52" s="152"/>
      <c r="AD52" s="152"/>
      <c r="AE52" s="152"/>
      <c r="AF52" s="152"/>
      <c r="AG52" s="152"/>
      <c r="AH52" s="152"/>
      <c r="AI52" s="152"/>
      <c r="AJ52" s="152"/>
      <c r="AK52" s="152"/>
      <c r="AL52" s="152"/>
      <c r="AM52" s="152"/>
      <c r="AN52" s="152"/>
      <c r="AO52" s="152"/>
      <c r="AP52" s="152"/>
      <c r="AQ52" s="152"/>
      <c r="AR52" s="152"/>
      <c r="AS52" s="152"/>
      <c r="AT52" s="152"/>
      <c r="AU52" s="152"/>
    </row>
    <row r="53" spans="1:85" x14ac:dyDescent="0.3">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row>
    <row r="54" spans="1:85" x14ac:dyDescent="0.3">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row>
    <row r="55" spans="1:85" ht="49.5" customHeight="1" x14ac:dyDescent="0.3">
      <c r="E55" s="838" t="s">
        <v>339</v>
      </c>
      <c r="F55" s="838"/>
      <c r="G55" s="838"/>
      <c r="H55" s="838"/>
      <c r="I55" s="8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row>
    <row r="56" spans="1:85" ht="8.25" customHeight="1" x14ac:dyDescent="0.3">
      <c r="E56" s="313"/>
      <c r="F56" s="313"/>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row>
    <row r="57" spans="1:85" s="118" customFormat="1" ht="24" customHeight="1" thickBot="1" x14ac:dyDescent="0.4">
      <c r="A57" s="37"/>
      <c r="B57" s="329"/>
      <c r="C57" s="330" t="s">
        <v>315</v>
      </c>
      <c r="D57" s="331"/>
      <c r="E57" s="331"/>
      <c r="F57" s="331"/>
      <c r="G57" s="331"/>
      <c r="H57" s="331"/>
      <c r="I57" s="331"/>
      <c r="J57" s="332"/>
      <c r="K57" s="331"/>
      <c r="L57" s="331"/>
      <c r="M57" s="331"/>
      <c r="N57" s="331"/>
      <c r="O57" s="331"/>
      <c r="P57" s="331"/>
      <c r="Q57" s="331"/>
      <c r="R57" s="331"/>
      <c r="S57" s="333"/>
      <c r="U57" s="36"/>
      <c r="V57" s="36"/>
      <c r="W57" s="36"/>
      <c r="X57" s="36"/>
      <c r="Y57" s="36"/>
      <c r="Z57" s="36"/>
      <c r="AE57" s="152"/>
      <c r="AF57" s="152"/>
      <c r="AG57" s="152"/>
      <c r="AH57" s="152"/>
      <c r="AI57" s="152"/>
      <c r="AJ57" s="152"/>
      <c r="AK57" s="152"/>
      <c r="AL57" s="152"/>
      <c r="AM57" s="152"/>
      <c r="AN57" s="152"/>
      <c r="AO57" s="152"/>
      <c r="AP57" s="152"/>
      <c r="AQ57" s="152"/>
      <c r="AR57" s="152"/>
      <c r="AS57" s="152"/>
      <c r="AT57" s="152"/>
      <c r="AU57" s="152"/>
    </row>
    <row r="58" spans="1:85" s="118" customFormat="1" ht="9.75" customHeight="1" x14ac:dyDescent="0.3">
      <c r="A58" s="37"/>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52"/>
      <c r="AB58" s="152"/>
      <c r="AD58" s="152"/>
      <c r="AE58" s="152"/>
      <c r="AF58" s="152"/>
      <c r="AG58" s="152"/>
      <c r="AH58" s="152"/>
      <c r="AI58" s="152"/>
      <c r="AJ58" s="152"/>
      <c r="AK58" s="152"/>
      <c r="AL58" s="152"/>
      <c r="AM58" s="152"/>
      <c r="AN58" s="152"/>
      <c r="AO58" s="152"/>
      <c r="AP58" s="152"/>
      <c r="AQ58" s="152"/>
      <c r="AR58" s="152"/>
      <c r="AS58" s="152"/>
      <c r="AT58" s="152"/>
      <c r="AU58" s="152"/>
    </row>
    <row r="59" spans="1:85" ht="18.75" customHeight="1" x14ac:dyDescent="0.4">
      <c r="D59" s="360"/>
      <c r="E59" s="361" t="s">
        <v>300</v>
      </c>
      <c r="F59" s="361"/>
      <c r="G59" s="361"/>
      <c r="H59" s="362"/>
      <c r="I59" s="362"/>
      <c r="J59" s="362"/>
      <c r="K59" s="362"/>
      <c r="L59" s="362"/>
      <c r="M59" s="362"/>
      <c r="N59" s="362"/>
      <c r="O59" s="362"/>
      <c r="P59" s="362"/>
      <c r="Q59" s="362"/>
      <c r="R59" s="362"/>
      <c r="S59" s="363"/>
      <c r="Z59" s="11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row>
    <row r="60" spans="1:85" ht="7.5" customHeight="1" x14ac:dyDescent="0.3">
      <c r="D60" s="355"/>
      <c r="E60" s="123"/>
      <c r="F60" s="123"/>
      <c r="G60" s="123"/>
      <c r="H60" s="123"/>
      <c r="I60" s="123"/>
      <c r="J60" s="123"/>
      <c r="K60" s="123"/>
      <c r="L60" s="123"/>
      <c r="M60" s="123"/>
      <c r="N60" s="123"/>
      <c r="O60" s="123"/>
      <c r="P60" s="123"/>
      <c r="Q60" s="123"/>
      <c r="R60" s="123"/>
      <c r="S60" s="356"/>
      <c r="Z60" s="11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row>
    <row r="61" spans="1:85" ht="54" customHeight="1" x14ac:dyDescent="0.3">
      <c r="D61" s="355"/>
      <c r="E61" s="123"/>
      <c r="F61" s="123"/>
      <c r="G61" s="810" t="s">
        <v>271</v>
      </c>
      <c r="H61" s="811"/>
      <c r="I61" s="812"/>
      <c r="J61" s="825" t="s">
        <v>270</v>
      </c>
      <c r="K61" s="826"/>
      <c r="L61" s="827"/>
      <c r="M61" s="806" t="s">
        <v>341</v>
      </c>
      <c r="N61" s="807"/>
      <c r="O61" s="837"/>
      <c r="P61" s="806" t="s">
        <v>342</v>
      </c>
      <c r="Q61" s="807"/>
      <c r="R61" s="807"/>
      <c r="S61" s="356"/>
      <c r="Z61" s="11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row>
    <row r="62" spans="1:85" ht="52" x14ac:dyDescent="0.3">
      <c r="D62" s="355"/>
      <c r="E62" s="123"/>
      <c r="F62" s="123"/>
      <c r="G62" s="364" t="s">
        <v>367</v>
      </c>
      <c r="H62" s="128" t="s">
        <v>369</v>
      </c>
      <c r="I62" s="148" t="s">
        <v>368</v>
      </c>
      <c r="J62" s="379" t="s">
        <v>317</v>
      </c>
      <c r="K62" s="458" t="s">
        <v>322</v>
      </c>
      <c r="L62" s="381" t="s">
        <v>269</v>
      </c>
      <c r="M62" s="137" t="s">
        <v>157</v>
      </c>
      <c r="N62" s="130" t="str">
        <f>"Valeur actualisée nette (VAN) sur "&amp;'Paramètres et Résultats'!$G$41&amp;" ans"</f>
        <v>Valeur actualisée nette (VAN) sur 20 ans</v>
      </c>
      <c r="O62" s="138" t="str">
        <f>"Taux de rentabilité interne (TRI) sur "&amp;'Paramètres et Résultats'!$G$41&amp;" ans"</f>
        <v>Taux de rentabilité interne (TRI) sur 20 ans</v>
      </c>
      <c r="P62" s="129" t="s">
        <v>157</v>
      </c>
      <c r="Q62" s="130" t="str">
        <f>"Valeur actualisée nette (VAN) sur "&amp;'Paramètres et Résultats'!$G$41&amp;" ans"</f>
        <v>Valeur actualisée nette (VAN) sur 20 ans</v>
      </c>
      <c r="R62" s="131" t="str">
        <f>"Taux de rentabilité interne (TRI) sur "&amp;'Paramètres et Résultats'!$G$41&amp;" ans"</f>
        <v>Taux de rentabilité interne (TRI) sur 20 ans</v>
      </c>
      <c r="S62" s="356"/>
      <c r="Z62" s="11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row>
    <row r="63" spans="1:85" ht="16" thickBot="1" x14ac:dyDescent="0.35">
      <c r="D63" s="355"/>
      <c r="E63" s="784" t="str">
        <f>SUM(D65:D68)&amp;" Actions"</f>
        <v>13 Actions</v>
      </c>
      <c r="F63" s="785"/>
      <c r="G63" s="289" t="s">
        <v>233</v>
      </c>
      <c r="H63" s="290" t="s">
        <v>158</v>
      </c>
      <c r="I63" s="291" t="s">
        <v>234</v>
      </c>
      <c r="J63" s="460" t="s">
        <v>158</v>
      </c>
      <c r="K63" s="461" t="s">
        <v>2</v>
      </c>
      <c r="L63" s="462" t="s">
        <v>2</v>
      </c>
      <c r="M63" s="149" t="s">
        <v>280</v>
      </c>
      <c r="N63" s="292" t="s">
        <v>2</v>
      </c>
      <c r="O63" s="150" t="s">
        <v>78</v>
      </c>
      <c r="P63" s="149" t="s">
        <v>280</v>
      </c>
      <c r="Q63" s="292" t="s">
        <v>2</v>
      </c>
      <c r="R63" s="150" t="s">
        <v>78</v>
      </c>
      <c r="S63" s="356"/>
      <c r="Z63" s="11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row>
    <row r="64" spans="1:85" ht="15" customHeight="1" thickBot="1" x14ac:dyDescent="0.35">
      <c r="D64" s="355"/>
      <c r="E64" s="786" t="s">
        <v>119</v>
      </c>
      <c r="F64" s="787"/>
      <c r="G64" s="293">
        <f>'Plan d''actions'!M6</f>
        <v>3692</v>
      </c>
      <c r="H64" s="324">
        <f ca="1">'Plan d''actions'!N6</f>
        <v>199809.25555555554</v>
      </c>
      <c r="I64" s="294">
        <f>'Plan d''actions'!O6</f>
        <v>618.79899999999998</v>
      </c>
      <c r="J64" s="326">
        <f>'Plan d''actions'!I6</f>
        <v>-4000</v>
      </c>
      <c r="K64" s="327">
        <f>'Plan d''actions'!J6</f>
        <v>568900</v>
      </c>
      <c r="L64" s="328">
        <f>'Plan d''actions'!L6</f>
        <v>34575</v>
      </c>
      <c r="M64" s="295">
        <f ca="1">'Plan d''actions'!P6</f>
        <v>2.9053784939118472</v>
      </c>
      <c r="N64" s="296">
        <f ca="1">'Plan d''actions'!Q6</f>
        <v>1817152.2438931316</v>
      </c>
      <c r="O64" s="297">
        <f ca="1">'Plan d''actions'!R6</f>
        <v>0.39387390829535707</v>
      </c>
      <c r="P64" s="295">
        <f ca="1">'Plan d''actions'!S6</f>
        <v>2.7288035924757388</v>
      </c>
      <c r="Q64" s="296">
        <f ca="1">'Plan d''actions'!T6</f>
        <v>1851727.2438931316</v>
      </c>
      <c r="R64" s="298">
        <f ca="1">'Plan d''actions'!U6</f>
        <v>0.41642694597061869</v>
      </c>
      <c r="S64" s="356"/>
      <c r="Z64" s="11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row>
    <row r="65" spans="1:85" ht="15.75" customHeight="1" x14ac:dyDescent="0.3">
      <c r="D65" s="456">
        <f>COUNTIF('Plan d''actions'!$A$7:$A$26,Liste!Q3)</f>
        <v>5</v>
      </c>
      <c r="E65" s="788" t="str">
        <f>"Prioritaires : "&amp;D65</f>
        <v>Prioritaires : 5</v>
      </c>
      <c r="F65" s="789"/>
      <c r="G65" s="463">
        <f>IF($D65=0,"Non Applicable",SUMIF('Plan d''actions'!$A$7:$A$26,Liste!Q3,'Plan d''actions'!M$7:M$26))</f>
        <v>1921</v>
      </c>
      <c r="H65" s="464">
        <f ca="1">IF($D65=0,"Non Applicable",SUMIF('Plan d''actions'!$A$7:$A$26,Liste!Q3,'Plan d''actions'!N$7:N$26))</f>
        <v>102307.72222222222</v>
      </c>
      <c r="I65" s="465">
        <f>IF($D65=0,"Non Applicable",SUMIF('Plan d''actions'!$A$7:$A$26,Liste!Q3,'Plan d''actions'!O$7:O$26))</f>
        <v>326.64999999999998</v>
      </c>
      <c r="J65" s="466">
        <f>IF($D65=0,"Non Applicable",SUMIF('Plan d''actions'!$A$7:$A$26,Liste!Q3,'Plan d''actions'!I$7:I$26))</f>
        <v>-5000</v>
      </c>
      <c r="K65" s="467">
        <f>IF($D65=0,"Non Applicable",IF($D65=0,"Non Applicable",SUMIF('Plan d''actions'!$A$7:$A$26,Liste!Q3,'Plan d''actions'!J$7:J$26)))</f>
        <v>111800</v>
      </c>
      <c r="L65" s="468">
        <f>IF($D65=0,"Non Applicable",SUMIF('Plan d''actions'!$A$7:$A$26,Liste!Q3,'Plan d''actions'!L$7:L$26))</f>
        <v>1245</v>
      </c>
      <c r="M65" s="469">
        <f ca="1">IF($D65=0,"Non Applicable",IF(AND(K65=0,G65&lt;&gt;0),"immédiat",IF(H65+J65&lt;=0,"Non Applicable",K65/(H65+J65))))</f>
        <v>1.1489324531169447</v>
      </c>
      <c r="N65" s="470">
        <f ca="1">IF($D65=0,"Non Applicable",IFERROR(NPV(Tx_a,OFFSET('Plan d''actions'!F208,0,0,1,'Paramètres et Résultats'!$G$41))+'Plan d''actions'!E208,"Non applicable"))</f>
        <v>1084791.9126967145</v>
      </c>
      <c r="O65" s="471">
        <f ca="1">IF($D65=0,"Non Applicable",IF(ISERROR(IRR(OFFSET('Plan d''actions'!E208,0,0,1,'Paramètres et Résultats'!$G$41+1))),"Non Applicable",IRR(OFFSET('Plan d''actions'!E208,0,0,1,'Paramètres et Résultats'!$G$41+1))))</f>
        <v>0.92279141629404848</v>
      </c>
      <c r="P65" s="469">
        <f ca="1">IF($D65=0,"Non Applicable",IF(AND(K65=0,G65&lt;&gt;0),"immédiat",IF(H65+J65&lt;=0,"Non Applicable",(K65-L65)/(H65+J65))))</f>
        <v>1.1361379906470823</v>
      </c>
      <c r="Q65" s="470">
        <f ca="1">IF($D65=0,"Non Applicable",IFERROR(NPV(Tx_a,OFFSET('Plan d''actions'!F266,0,0,1,'Paramètres et Résultats'!$G$41))+'Plan d''actions'!E266,"Non applicable"))</f>
        <v>1086036.9126967145</v>
      </c>
      <c r="R65" s="472">
        <f ca="1">IF($D65=0,"Non Applicable",IF(ISERROR(IRR(OFFSET('Plan d''actions'!E266,0,0,1,'Paramètres et Résultats'!$G$41+1))),"Non Applicable",IRR(OFFSET('Plan d''actions'!E266,0,0,1,'Paramètres et Résultats'!$G$41+1))))</f>
        <v>0.93259496627142235</v>
      </c>
      <c r="S65" s="356"/>
      <c r="Z65" s="11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row>
    <row r="66" spans="1:85" ht="15.75" customHeight="1" x14ac:dyDescent="0.3">
      <c r="D66" s="456">
        <f>COUNTIF('Plan d''actions'!$A$7:$A$26,Liste!Q4)</f>
        <v>2</v>
      </c>
      <c r="E66" s="790" t="str">
        <f>"Ambitieuses : "&amp;D66</f>
        <v>Ambitieuses : 2</v>
      </c>
      <c r="F66" s="791"/>
      <c r="G66" s="473">
        <f>IF($D66=0,"Non Applicable",SUMIF('Plan d''actions'!$A$7:$A$26,Liste!Q4,'Plan d''actions'!M$7:M$26))</f>
        <v>1130</v>
      </c>
      <c r="H66" s="474">
        <f ca="1">IF($D66=0,"Non Applicable",SUMIF('Plan d''actions'!$A$7:$A$26,Liste!Q4,'Plan d''actions'!N$7:N$26))</f>
        <v>46204.444444444438</v>
      </c>
      <c r="I66" s="475">
        <f>IF($D66=0,"Non Applicable",SUMIF('Plan d''actions'!$A$7:$A$26,Liste!Q4,'Plan d''actions'!O$7:O$26))</f>
        <v>231.65</v>
      </c>
      <c r="J66" s="476">
        <f>IF($D66=0,"Non Applicable",SUMIF('Plan d''actions'!$A$7:$A$26,Liste!Q4,'Plan d''actions'!I$7:I$26))</f>
        <v>0</v>
      </c>
      <c r="K66" s="477">
        <f>IF($D66=0,"Non Applicable",IF($D66=0,"Non Applicable",SUMIF('Plan d''actions'!$A$7:$A$26,Liste!Q4,'Plan d''actions'!J$7:J$26)))</f>
        <v>127100</v>
      </c>
      <c r="L66" s="478">
        <f>IF($D66=0,"Non Applicable",SUMIF('Plan d''actions'!$A$7:$A$26,Liste!Q4,'Plan d''actions'!L$7:L$26))</f>
        <v>0</v>
      </c>
      <c r="M66" s="479">
        <f ca="1">IF($D66=0,"Non Applicable",IF(AND(K66=0,G66&lt;&gt;0),"immédiat",IF(H66+J66&lt;=0,"Non Applicable",K66/(H66+J66))))</f>
        <v>2.7508176221623706</v>
      </c>
      <c r="N66" s="480">
        <f ca="1">IF($D66=0,"Non Applicable",IFERROR(NPV(Tx_a,OFFSET('Plan d''actions'!F209,0,0,1,'Paramètres et Résultats'!$G$41))+'Plan d''actions'!E209,"Non applicable"))</f>
        <v>432532.11494507978</v>
      </c>
      <c r="O66" s="481">
        <f ca="1">IF($D66=0,"Non Applicable",IF(ISERROR(IRR(OFFSET('Plan d''actions'!E209,0,0,1,'Paramètres et Résultats'!$G$41+1))),"Non Applicable",IRR(OFFSET('Plan d''actions'!E209,0,0,1,'Paramètres et Résultats'!$G$41+1))))</f>
        <v>0.41256409420701745</v>
      </c>
      <c r="P66" s="479">
        <f ca="1">IF($D66=0,"Non Applicable",IF(AND(K66=0,G66&lt;&gt;0),"immédiat",IF(H66+J66&lt;=0,"Non Applicable",(K66-L66)/(H66+J66))))</f>
        <v>2.7508176221623706</v>
      </c>
      <c r="Q66" s="480">
        <f ca="1">IF($D66=0,"Non Applicable",IFERROR(NPV(Tx_a,OFFSET('Plan d''actions'!F267,0,0,1,'Paramètres et Résultats'!$G$41))+'Plan d''actions'!E267,"Non applicable"))</f>
        <v>432532.11494507978</v>
      </c>
      <c r="R66" s="482">
        <f ca="1">IF($D66=0,"Non Applicable",IF(ISERROR(IRR(OFFSET('Plan d''actions'!E267,0,0,1,'Paramètres et Résultats'!$G$41+1))),"Non Applicable",IRR(OFFSET('Plan d''actions'!E267,0,0,1,'Paramètres et Résultats'!$G$41+1))))</f>
        <v>0.41256409420701745</v>
      </c>
      <c r="S66" s="356"/>
      <c r="Z66" s="11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row>
    <row r="67" spans="1:85" ht="15.75" customHeight="1" x14ac:dyDescent="0.3">
      <c r="D67" s="456">
        <f>COUNTIF('Plan d''actions'!$A$7:$A$26,Liste!Q5)</f>
        <v>5</v>
      </c>
      <c r="E67" s="790" t="str">
        <f>"Très ambitieuses : "&amp;D67</f>
        <v>Très ambitieuses : 5</v>
      </c>
      <c r="F67" s="791"/>
      <c r="G67" s="473">
        <f>IF($D67=0,"Non Applicable",SUMIF('Plan d''actions'!$A$7:$A$26,Liste!Q5,'Plan d''actions'!M$7:M$26))</f>
        <v>586</v>
      </c>
      <c r="H67" s="474">
        <f ca="1">IF($D67=0,"Non Applicable",SUMIF('Plan d''actions'!$A$7:$A$26,Liste!Q5,'Plan d''actions'!N$7:N$26))</f>
        <v>49048.2</v>
      </c>
      <c r="I67" s="475">
        <f>IF($D67=0,"Non Applicable",SUMIF('Plan d''actions'!$A$7:$A$26,Liste!Q5,'Plan d''actions'!O$7:O$26))</f>
        <v>49.224000000000004</v>
      </c>
      <c r="J67" s="476">
        <f>IF($D67=0,"Non Applicable",SUMIF('Plan d''actions'!$A$7:$A$26,Liste!Q5,'Plan d''actions'!I$7:I$26))</f>
        <v>1000</v>
      </c>
      <c r="K67" s="477">
        <f>IF($D67=0,"Non Applicable",IF($D67=0,"Non Applicable",SUMIF('Plan d''actions'!$A$7:$A$26,Liste!Q5,'Plan d''actions'!J$7:J$26)))</f>
        <v>330000</v>
      </c>
      <c r="L67" s="478">
        <f>IF($D67=0,"Non Applicable",SUMIF('Plan d''actions'!$A$7:$A$26,Liste!Q5,'Plan d''actions'!L$7:L$26))</f>
        <v>33330</v>
      </c>
      <c r="M67" s="479">
        <f ca="1">IF($D67=0,"Non Applicable",IF(AND(K67=0,G67&lt;&gt;0),"immédiat",IF(H67+J67&lt;=0,"Non Applicable",K67/(H67+J67))))</f>
        <v>6.5936437274467421</v>
      </c>
      <c r="N67" s="480">
        <f ca="1">IF($D67=0,"Non Applicable",IFERROR(NPV(Tx_a,OFFSET('Plan d''actions'!F210,0,0,1,'Paramètres et Résultats'!$G$41))+'Plan d''actions'!E210,"Non applicable"))</f>
        <v>272589.48499294859</v>
      </c>
      <c r="O67" s="481">
        <f ca="1">IF($D67=0,"Non Applicable",IF(ISERROR(IRR(OFFSET('Plan d''actions'!E210,0,0,1,'Paramètres et Résultats'!$G$41+1))),"Non Applicable",IRR(OFFSET('Plan d''actions'!E210,0,0,1,'Paramètres et Résultats'!$G$41+1))))</f>
        <v>0.18826505759525025</v>
      </c>
      <c r="P67" s="479">
        <f ca="1">IF($D67=0,"Non Applicable",IF(AND(K67=0,G67&lt;&gt;0),"immédiat",IF(H67+J67&lt;=0,"Non Applicable",(K67-L67)/(H67+J67))))</f>
        <v>5.9276857109746208</v>
      </c>
      <c r="Q67" s="480">
        <f ca="1">IF($D67=0,"Non Applicable",IFERROR(NPV(Tx_a,OFFSET('Plan d''actions'!F268,0,0,1,'Paramètres et Résultats'!$G$41))+'Plan d''actions'!E268,"Non applicable"))</f>
        <v>305919.48499294859</v>
      </c>
      <c r="R67" s="482">
        <f ca="1">IF($D67=0,"Non Applicable",IF(ISERROR(IRR(OFFSET('Plan d''actions'!E268,0,0,1,'Paramètres et Résultats'!$G$41+1))),"Non Applicable",IRR(OFFSET('Plan d''actions'!E268,0,0,1,'Paramètres et Résultats'!$G$41+1))))</f>
        <v>0.20777417758699501</v>
      </c>
      <c r="S67" s="356"/>
      <c r="Z67" s="11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row>
    <row r="68" spans="1:85" ht="15.75" customHeight="1" x14ac:dyDescent="0.3">
      <c r="D68" s="456">
        <f>COUNTIF('Plan d''actions'!$A$7:$A$26,Liste!Q6)</f>
        <v>1</v>
      </c>
      <c r="E68" s="776" t="str">
        <f>"Non priorisées : "&amp;D68</f>
        <v>Non priorisées : 1</v>
      </c>
      <c r="F68" s="777"/>
      <c r="G68" s="483">
        <f>IF($D68=0,"Non Applicable",SUMIF('Plan d''actions'!$A$7:$A$26,Liste!Q6,'Plan d''actions'!M$7:M$26))</f>
        <v>55</v>
      </c>
      <c r="H68" s="484">
        <f ca="1">IF($D68=0,"Non Applicable",SUMIF('Plan d''actions'!$A$7:$A$26,Liste!Q6,'Plan d''actions'!N$7:N$26))</f>
        <v>2248.8888888888887</v>
      </c>
      <c r="I68" s="485">
        <f>IF($D68=0,"Non Applicable",SUMIF('Plan d''actions'!$A$7:$A$26,Liste!Q6,'Plan d''actions'!O$7:O$26))</f>
        <v>11.275</v>
      </c>
      <c r="J68" s="486">
        <f>IF($D68=0,"Non Applicable",SUMIF('Plan d''actions'!$A$7:$A$26,Liste!Q6,'Plan d''actions'!I$7:I$26))</f>
        <v>0</v>
      </c>
      <c r="K68" s="487">
        <f>IF($D68=0,"Non Applicable",IF($D68=0,"Non Applicable",SUMIF('Plan d''actions'!$A$7:$A$26,Liste!Q6,'Plan d''actions'!J$7:J$26)))</f>
        <v>0</v>
      </c>
      <c r="L68" s="488">
        <f>IF($D68=0,"Non Applicable",SUMIF('Plan d''actions'!$A$7:$A$26,Liste!Q6,'Plan d''actions'!L$7:L$26))</f>
        <v>0</v>
      </c>
      <c r="M68" s="489" t="str">
        <f>IF($D68=0,"Non Applicable",IF(AND(K68=0,G68&lt;&gt;0),"immédiat",IF(H68+J68&lt;=0,"Non Applicable",K68/(H68+J68))))</f>
        <v>immédiat</v>
      </c>
      <c r="N68" s="490">
        <f ca="1">IF($D68=0,"Non Applicable",IFERROR(NPV(Tx_a,OFFSET('Plan d''actions'!F211,0,0,1,'Paramètres et Résultats'!$G$41))+'Plan d''actions'!E211,"Non applicable"))</f>
        <v>0</v>
      </c>
      <c r="O68" s="491" t="str">
        <f ca="1">IF($D68=0,"Non Applicable",IF(ISERROR(IRR(OFFSET('Plan d''actions'!E211,0,0,1,'Paramètres et Résultats'!$G$41+1))),"Non Applicable",IRR(OFFSET('Plan d''actions'!E211,0,0,1,'Paramètres et Résultats'!$G$41+1))))</f>
        <v>Non Applicable</v>
      </c>
      <c r="P68" s="489" t="str">
        <f>IF($D68=0,"Non Applicable",IF(AND(K68=0,G68&lt;&gt;0),"immédiat",IF(H68+J68&lt;=0,"Non Applicable",(K68-L68)/(H68+J68))))</f>
        <v>immédiat</v>
      </c>
      <c r="Q68" s="490">
        <f ca="1">IF($D68=0,"Non Applicable",IFERROR(NPV(Tx_a,OFFSET('Plan d''actions'!F269,0,0,1,'Paramètres et Résultats'!$G$41))+'Plan d''actions'!E269,"Non applicable"))</f>
        <v>0</v>
      </c>
      <c r="R68" s="492" t="str">
        <f ca="1">IF($D68=0,"Non Applicable",IF(ISERROR(IRR(OFFSET('Plan d''actions'!E269,0,0,1,'Paramètres et Résultats'!$G$41+1))),"Non Applicable",IRR(OFFSET('Plan d''actions'!E269,0,0,1,'Paramètres et Résultats'!$G$41+1))))</f>
        <v>Non Applicable</v>
      </c>
      <c r="S68" s="356"/>
      <c r="Z68" s="11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row>
    <row r="69" spans="1:85" ht="9" customHeight="1" x14ac:dyDescent="0.3">
      <c r="D69" s="357"/>
      <c r="E69" s="358"/>
      <c r="F69" s="358"/>
      <c r="G69" s="358"/>
      <c r="H69" s="358"/>
      <c r="I69" s="358"/>
      <c r="J69" s="358"/>
      <c r="K69" s="358"/>
      <c r="L69" s="358"/>
      <c r="M69" s="358"/>
      <c r="N69" s="358"/>
      <c r="O69" s="358"/>
      <c r="P69" s="358"/>
      <c r="Q69" s="358"/>
      <c r="R69" s="358"/>
      <c r="S69" s="359"/>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row>
    <row r="70" spans="1:85" x14ac:dyDescent="0.3">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row>
    <row r="71" spans="1:85" ht="13.9" customHeight="1" x14ac:dyDescent="0.3">
      <c r="A71" s="314"/>
      <c r="B71" s="40"/>
      <c r="C71" s="40"/>
      <c r="S71" s="37"/>
      <c r="Z71" s="11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row>
    <row r="72" spans="1:85" s="583" customFormat="1" ht="17.5" customHeight="1" x14ac:dyDescent="0.4">
      <c r="A72" s="575"/>
      <c r="B72" s="576"/>
      <c r="C72" s="576"/>
      <c r="D72" s="577"/>
      <c r="E72" s="578" t="s">
        <v>165</v>
      </c>
      <c r="F72" s="578"/>
      <c r="G72" s="578"/>
      <c r="H72" s="579"/>
      <c r="I72" s="579"/>
      <c r="J72" s="579"/>
      <c r="K72" s="579"/>
      <c r="L72" s="579"/>
      <c r="M72" s="579"/>
      <c r="N72" s="579"/>
      <c r="O72" s="579"/>
      <c r="P72" s="579"/>
      <c r="Q72" s="579"/>
      <c r="R72" s="579"/>
      <c r="S72" s="580"/>
      <c r="T72" s="581"/>
      <c r="U72" s="581"/>
      <c r="V72" s="581"/>
      <c r="W72" s="581"/>
      <c r="X72" s="581"/>
      <c r="Y72" s="582"/>
      <c r="Z72" s="582"/>
      <c r="AA72" s="582"/>
      <c r="AB72" s="582"/>
      <c r="AC72" s="582"/>
      <c r="AD72" s="582"/>
      <c r="AE72" s="582"/>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row>
    <row r="73" spans="1:85" s="583" customFormat="1" ht="13.9" customHeight="1" x14ac:dyDescent="0.3">
      <c r="A73" s="575"/>
      <c r="B73" s="576"/>
      <c r="C73" s="576"/>
      <c r="D73" s="584"/>
      <c r="E73" s="585"/>
      <c r="F73" s="585"/>
      <c r="G73" s="585"/>
      <c r="H73" s="585"/>
      <c r="I73" s="585"/>
      <c r="J73" s="585"/>
      <c r="K73" s="585"/>
      <c r="L73" s="585"/>
      <c r="M73" s="585"/>
      <c r="N73" s="585"/>
      <c r="O73" s="585"/>
      <c r="P73" s="585"/>
      <c r="Q73" s="585"/>
      <c r="R73" s="585"/>
      <c r="S73" s="586"/>
      <c r="T73" s="581"/>
      <c r="U73" s="581"/>
      <c r="V73" s="581"/>
      <c r="W73" s="581"/>
      <c r="X73" s="581"/>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row>
    <row r="74" spans="1:85" s="583" customFormat="1" ht="13.9" customHeight="1" x14ac:dyDescent="0.3">
      <c r="B74" s="587"/>
      <c r="C74" s="587"/>
      <c r="D74" s="584"/>
      <c r="E74" s="585"/>
      <c r="F74" s="585"/>
      <c r="G74" s="585"/>
      <c r="H74" s="585"/>
      <c r="I74" s="585"/>
      <c r="J74" s="585"/>
      <c r="K74" s="585"/>
      <c r="L74" s="585"/>
      <c r="M74" s="588"/>
      <c r="N74" s="585"/>
      <c r="O74" s="585"/>
      <c r="P74" s="585"/>
      <c r="Q74" s="585"/>
      <c r="R74" s="585"/>
      <c r="S74" s="586"/>
      <c r="T74" s="581"/>
      <c r="U74" s="581"/>
      <c r="V74" s="581"/>
      <c r="W74" s="581" t="s">
        <v>382</v>
      </c>
      <c r="X74" s="581"/>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row>
    <row r="75" spans="1:85" s="583" customFormat="1" ht="13.9" customHeight="1" x14ac:dyDescent="0.3">
      <c r="B75" s="587"/>
      <c r="C75" s="587"/>
      <c r="D75" s="584"/>
      <c r="E75" s="585"/>
      <c r="F75" s="585"/>
      <c r="G75" s="585"/>
      <c r="H75" s="585"/>
      <c r="I75" s="585"/>
      <c r="J75" s="585"/>
      <c r="K75" s="585"/>
      <c r="L75" s="585"/>
      <c r="M75" s="585"/>
      <c r="N75" s="585"/>
      <c r="O75" s="585"/>
      <c r="P75" s="585"/>
      <c r="Q75" s="585"/>
      <c r="R75" s="585"/>
      <c r="S75" s="586"/>
      <c r="T75" s="581"/>
      <c r="U75" s="581"/>
      <c r="V75" s="581"/>
      <c r="W75" s="589"/>
      <c r="X75" s="589"/>
      <c r="Y75" s="582"/>
      <c r="Z75" s="582"/>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row>
    <row r="76" spans="1:85" s="583" customFormat="1" x14ac:dyDescent="0.3">
      <c r="B76" s="587"/>
      <c r="C76" s="587"/>
      <c r="D76" s="584"/>
      <c r="E76" s="585"/>
      <c r="F76" s="585"/>
      <c r="G76" s="585"/>
      <c r="H76" s="585"/>
      <c r="I76" s="585"/>
      <c r="J76" s="585"/>
      <c r="K76" s="585"/>
      <c r="L76" s="585"/>
      <c r="M76" s="590"/>
      <c r="N76" s="591"/>
      <c r="O76" s="585"/>
      <c r="P76" s="585"/>
      <c r="Q76" s="585"/>
      <c r="R76" s="585"/>
      <c r="S76" s="586"/>
      <c r="T76" s="581"/>
      <c r="U76" s="581"/>
      <c r="V76" s="581"/>
      <c r="W76" s="589" t="s">
        <v>281</v>
      </c>
      <c r="X76" s="592">
        <f>G65</f>
        <v>1921</v>
      </c>
      <c r="Y76" s="582"/>
      <c r="Z76" s="582"/>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row>
    <row r="77" spans="1:85" s="583" customFormat="1" ht="13.9" customHeight="1" x14ac:dyDescent="0.3">
      <c r="B77" s="587"/>
      <c r="C77" s="587"/>
      <c r="D77" s="584"/>
      <c r="E77" s="585"/>
      <c r="F77" s="585"/>
      <c r="G77" s="585"/>
      <c r="H77" s="585"/>
      <c r="I77" s="585"/>
      <c r="J77" s="585"/>
      <c r="K77" s="593"/>
      <c r="L77" s="585"/>
      <c r="M77" s="594"/>
      <c r="N77" s="595"/>
      <c r="O77" s="585"/>
      <c r="P77" s="585"/>
      <c r="Q77" s="585"/>
      <c r="R77" s="585"/>
      <c r="S77" s="586"/>
      <c r="T77" s="581"/>
      <c r="U77" s="581"/>
      <c r="V77" s="581"/>
      <c r="W77" s="589" t="s">
        <v>282</v>
      </c>
      <c r="X77" s="592">
        <f t="shared" ref="X77:X78" si="13">G66</f>
        <v>1130</v>
      </c>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row>
    <row r="78" spans="1:85" s="583" customFormat="1" ht="13.9" customHeight="1" x14ac:dyDescent="0.3">
      <c r="B78" s="587"/>
      <c r="C78" s="587"/>
      <c r="D78" s="584"/>
      <c r="E78" s="585"/>
      <c r="F78" s="585"/>
      <c r="G78" s="585"/>
      <c r="H78" s="585"/>
      <c r="I78" s="585"/>
      <c r="J78" s="585"/>
      <c r="K78" s="593"/>
      <c r="L78" s="585"/>
      <c r="M78" s="594"/>
      <c r="N78" s="595"/>
      <c r="O78" s="585"/>
      <c r="P78" s="585"/>
      <c r="Q78" s="585"/>
      <c r="R78" s="585"/>
      <c r="S78" s="586"/>
      <c r="T78" s="581"/>
      <c r="U78" s="581"/>
      <c r="V78" s="581"/>
      <c r="W78" s="589" t="s">
        <v>283</v>
      </c>
      <c r="X78" s="592">
        <f t="shared" si="13"/>
        <v>586</v>
      </c>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row>
    <row r="79" spans="1:85" s="583" customFormat="1" ht="13.9" customHeight="1" x14ac:dyDescent="0.3">
      <c r="B79" s="587"/>
      <c r="C79" s="587"/>
      <c r="D79" s="584"/>
      <c r="E79" s="585"/>
      <c r="F79" s="585"/>
      <c r="G79" s="585"/>
      <c r="H79" s="585"/>
      <c r="I79" s="585"/>
      <c r="J79" s="585"/>
      <c r="K79" s="593"/>
      <c r="L79" s="585"/>
      <c r="M79" s="594"/>
      <c r="N79" s="595"/>
      <c r="O79" s="585"/>
      <c r="P79" s="585"/>
      <c r="Q79" s="585"/>
      <c r="R79" s="585"/>
      <c r="S79" s="586"/>
      <c r="T79" s="581"/>
      <c r="U79" s="581"/>
      <c r="V79" s="581"/>
      <c r="W79" s="589" t="s">
        <v>108</v>
      </c>
      <c r="X79" s="592">
        <f>G64</f>
        <v>3692</v>
      </c>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row>
    <row r="80" spans="1:85" s="583" customFormat="1" ht="13.9" customHeight="1" x14ac:dyDescent="0.3">
      <c r="B80" s="587"/>
      <c r="C80" s="587"/>
      <c r="D80" s="584"/>
      <c r="E80" s="585"/>
      <c r="F80" s="585"/>
      <c r="G80" s="585"/>
      <c r="H80" s="585"/>
      <c r="I80" s="585"/>
      <c r="J80" s="585"/>
      <c r="K80" s="593"/>
      <c r="L80" s="585"/>
      <c r="M80" s="594"/>
      <c r="N80" s="595"/>
      <c r="O80" s="585"/>
      <c r="P80" s="585"/>
      <c r="Q80" s="585"/>
      <c r="R80" s="585"/>
      <c r="S80" s="586"/>
      <c r="T80" s="581"/>
      <c r="U80" s="581"/>
      <c r="V80" s="581"/>
      <c r="W80" s="581"/>
      <c r="X80" s="581"/>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row>
    <row r="81" spans="2:54" s="583" customFormat="1" ht="13.9" customHeight="1" x14ac:dyDescent="0.3">
      <c r="B81" s="587"/>
      <c r="C81" s="587"/>
      <c r="D81" s="584"/>
      <c r="E81" s="585"/>
      <c r="F81" s="585"/>
      <c r="G81" s="585"/>
      <c r="H81" s="585"/>
      <c r="I81" s="585"/>
      <c r="J81" s="585"/>
      <c r="K81" s="593"/>
      <c r="L81" s="585"/>
      <c r="M81" s="596"/>
      <c r="N81" s="597"/>
      <c r="O81" s="585"/>
      <c r="P81" s="585"/>
      <c r="Q81" s="585"/>
      <c r="R81" s="585"/>
      <c r="S81" s="586"/>
      <c r="T81" s="581"/>
      <c r="U81" s="581"/>
      <c r="V81" s="581"/>
      <c r="W81" s="581"/>
      <c r="X81" s="581"/>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row>
    <row r="82" spans="2:54" s="583" customFormat="1" ht="13.9" customHeight="1" x14ac:dyDescent="0.3">
      <c r="B82" s="587"/>
      <c r="C82" s="587"/>
      <c r="D82" s="584"/>
      <c r="E82" s="585"/>
      <c r="F82" s="585"/>
      <c r="G82" s="585"/>
      <c r="H82" s="585"/>
      <c r="I82" s="585"/>
      <c r="J82" s="585"/>
      <c r="K82" s="585"/>
      <c r="L82" s="585"/>
      <c r="M82" s="585"/>
      <c r="N82" s="585"/>
      <c r="O82" s="585"/>
      <c r="P82" s="585"/>
      <c r="Q82" s="585"/>
      <c r="R82" s="585"/>
      <c r="S82" s="586"/>
      <c r="T82" s="581"/>
      <c r="U82" s="581"/>
      <c r="V82" s="581"/>
      <c r="W82" s="581"/>
      <c r="X82" s="581"/>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row>
    <row r="83" spans="2:54" s="583" customFormat="1" ht="13.9" customHeight="1" x14ac:dyDescent="0.3">
      <c r="B83" s="587"/>
      <c r="C83" s="587"/>
      <c r="D83" s="584"/>
      <c r="E83" s="585"/>
      <c r="F83" s="585"/>
      <c r="G83" s="585"/>
      <c r="H83" s="585"/>
      <c r="I83" s="585"/>
      <c r="J83" s="585"/>
      <c r="K83" s="585"/>
      <c r="L83" s="585"/>
      <c r="M83" s="585"/>
      <c r="N83" s="585"/>
      <c r="O83" s="585"/>
      <c r="P83" s="585"/>
      <c r="Q83" s="585"/>
      <c r="R83" s="585"/>
      <c r="S83" s="586"/>
      <c r="T83" s="581"/>
      <c r="U83" s="581"/>
      <c r="V83" s="581"/>
      <c r="W83" s="581"/>
      <c r="X83" s="581"/>
      <c r="Y83" s="582"/>
      <c r="Z83" s="582"/>
      <c r="AA83" s="582"/>
      <c r="AB83" s="582"/>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row>
    <row r="84" spans="2:54" s="583" customFormat="1" ht="13.9" customHeight="1" x14ac:dyDescent="0.3">
      <c r="B84" s="587"/>
      <c r="C84" s="587"/>
      <c r="D84" s="584"/>
      <c r="E84" s="585"/>
      <c r="F84" s="585"/>
      <c r="G84" s="585"/>
      <c r="H84" s="585"/>
      <c r="I84" s="585"/>
      <c r="J84" s="585"/>
      <c r="K84" s="585"/>
      <c r="L84" s="585"/>
      <c r="M84" s="585"/>
      <c r="N84" s="585"/>
      <c r="O84" s="585"/>
      <c r="P84" s="585"/>
      <c r="Q84" s="585"/>
      <c r="R84" s="585"/>
      <c r="S84" s="586"/>
      <c r="T84" s="581"/>
      <c r="U84" s="581"/>
      <c r="V84" s="581"/>
      <c r="W84" s="581"/>
      <c r="X84" s="581"/>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row>
    <row r="85" spans="2:54" s="583" customFormat="1" ht="13.9" customHeight="1" x14ac:dyDescent="0.3">
      <c r="B85" s="587"/>
      <c r="C85" s="587"/>
      <c r="D85" s="584"/>
      <c r="E85" s="585"/>
      <c r="F85" s="585"/>
      <c r="G85" s="585"/>
      <c r="H85" s="585"/>
      <c r="I85" s="585"/>
      <c r="J85" s="585"/>
      <c r="K85" s="585"/>
      <c r="L85" s="585"/>
      <c r="M85" s="585"/>
      <c r="N85" s="585"/>
      <c r="O85" s="585"/>
      <c r="P85" s="585"/>
      <c r="Q85" s="585"/>
      <c r="R85" s="585"/>
      <c r="S85" s="586"/>
      <c r="T85" s="581"/>
      <c r="U85" s="581"/>
      <c r="V85" s="581"/>
      <c r="W85" s="581"/>
      <c r="X85" s="581"/>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row>
    <row r="86" spans="2:54" s="583" customFormat="1" ht="13.9" customHeight="1" x14ac:dyDescent="0.3">
      <c r="B86" s="587"/>
      <c r="C86" s="587"/>
      <c r="D86" s="584"/>
      <c r="E86" s="585"/>
      <c r="F86" s="585"/>
      <c r="G86" s="585"/>
      <c r="H86" s="585"/>
      <c r="I86" s="585"/>
      <c r="J86" s="585"/>
      <c r="K86" s="585"/>
      <c r="L86" s="585"/>
      <c r="M86" s="585"/>
      <c r="N86" s="585"/>
      <c r="O86" s="585"/>
      <c r="P86" s="585"/>
      <c r="Q86" s="585"/>
      <c r="R86" s="585"/>
      <c r="S86" s="586"/>
      <c r="T86" s="581"/>
      <c r="U86" s="581"/>
      <c r="V86" s="581"/>
      <c r="W86" s="581"/>
      <c r="X86" s="581"/>
      <c r="Y86" s="582"/>
      <c r="Z86" s="582"/>
      <c r="AA86" s="582"/>
      <c r="AB86" s="582"/>
      <c r="AC86" s="582"/>
      <c r="AD86" s="582"/>
      <c r="AE86" s="582"/>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row>
    <row r="87" spans="2:54" s="583" customFormat="1" ht="13.9" customHeight="1" x14ac:dyDescent="0.3">
      <c r="B87" s="587"/>
      <c r="C87" s="587"/>
      <c r="D87" s="584"/>
      <c r="E87" s="585"/>
      <c r="F87" s="585"/>
      <c r="G87" s="585"/>
      <c r="H87" s="585"/>
      <c r="I87" s="585"/>
      <c r="J87" s="585"/>
      <c r="K87" s="585"/>
      <c r="L87" s="585"/>
      <c r="M87" s="585"/>
      <c r="N87" s="585"/>
      <c r="O87" s="585"/>
      <c r="P87" s="585"/>
      <c r="Q87" s="585"/>
      <c r="R87" s="585"/>
      <c r="S87" s="586"/>
      <c r="T87" s="581"/>
      <c r="U87" s="581"/>
      <c r="V87" s="581"/>
      <c r="W87" s="581"/>
      <c r="X87" s="581"/>
      <c r="Y87" s="582"/>
      <c r="Z87" s="582"/>
      <c r="AA87" s="582"/>
      <c r="AB87" s="582"/>
      <c r="AC87" s="582"/>
      <c r="AD87" s="582"/>
      <c r="AE87" s="582"/>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row>
    <row r="88" spans="2:54" s="583" customFormat="1" ht="13.9" customHeight="1" x14ac:dyDescent="0.3">
      <c r="B88" s="587"/>
      <c r="C88" s="587"/>
      <c r="D88" s="584"/>
      <c r="E88" s="585"/>
      <c r="F88" s="585"/>
      <c r="G88" s="585"/>
      <c r="H88" s="585"/>
      <c r="I88" s="585"/>
      <c r="J88" s="585"/>
      <c r="K88" s="585"/>
      <c r="L88" s="585"/>
      <c r="M88" s="585"/>
      <c r="N88" s="585"/>
      <c r="O88" s="585"/>
      <c r="P88" s="585"/>
      <c r="Q88" s="585"/>
      <c r="R88" s="585"/>
      <c r="S88" s="586"/>
      <c r="T88" s="581"/>
      <c r="U88" s="581"/>
      <c r="V88" s="581"/>
      <c r="W88" s="581"/>
      <c r="X88" s="581"/>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row>
    <row r="89" spans="2:54" s="583" customFormat="1" ht="13.9" customHeight="1" x14ac:dyDescent="0.3">
      <c r="B89" s="587"/>
      <c r="C89" s="587"/>
      <c r="D89" s="584"/>
      <c r="E89" s="585"/>
      <c r="F89" s="585"/>
      <c r="G89" s="585"/>
      <c r="H89" s="585"/>
      <c r="I89" s="585"/>
      <c r="J89" s="585"/>
      <c r="K89" s="585"/>
      <c r="L89" s="585"/>
      <c r="M89" s="585"/>
      <c r="N89" s="585"/>
      <c r="O89" s="585"/>
      <c r="P89" s="585"/>
      <c r="Q89" s="585"/>
      <c r="R89" s="585"/>
      <c r="S89" s="586"/>
      <c r="T89" s="581"/>
      <c r="U89" s="581"/>
      <c r="V89" s="581"/>
      <c r="W89" s="581"/>
      <c r="X89" s="581"/>
      <c r="Y89" s="582"/>
      <c r="Z89" s="582"/>
      <c r="AA89" s="582"/>
      <c r="AB89" s="582"/>
      <c r="AC89" s="582"/>
      <c r="AD89" s="582"/>
      <c r="AE89" s="582"/>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row>
    <row r="90" spans="2:54" s="583" customFormat="1" ht="13.9" customHeight="1" x14ac:dyDescent="0.3">
      <c r="B90" s="587"/>
      <c r="C90" s="587"/>
      <c r="D90" s="584"/>
      <c r="E90" s="585"/>
      <c r="F90" s="585"/>
      <c r="G90" s="585"/>
      <c r="H90" s="585"/>
      <c r="I90" s="585"/>
      <c r="J90" s="585"/>
      <c r="K90" s="585"/>
      <c r="L90" s="585"/>
      <c r="M90" s="585"/>
      <c r="N90" s="585"/>
      <c r="O90" s="585"/>
      <c r="P90" s="585"/>
      <c r="Q90" s="585"/>
      <c r="R90" s="585"/>
      <c r="S90" s="586"/>
      <c r="T90" s="581"/>
      <c r="U90" s="581"/>
      <c r="V90" s="581"/>
      <c r="W90" s="581"/>
      <c r="X90" s="581"/>
      <c r="Y90" s="582"/>
      <c r="Z90" s="582"/>
      <c r="AA90" s="582"/>
      <c r="AB90" s="582"/>
      <c r="AC90" s="582"/>
      <c r="AD90" s="582"/>
      <c r="AE90" s="582"/>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row>
    <row r="91" spans="2:54" s="583" customFormat="1" ht="13.9" customHeight="1" x14ac:dyDescent="0.3">
      <c r="B91" s="587"/>
      <c r="C91" s="587"/>
      <c r="D91" s="598"/>
      <c r="E91" s="599"/>
      <c r="F91" s="599"/>
      <c r="G91" s="599"/>
      <c r="H91" s="599"/>
      <c r="I91" s="599"/>
      <c r="J91" s="599"/>
      <c r="K91" s="599"/>
      <c r="L91" s="599"/>
      <c r="M91" s="599"/>
      <c r="N91" s="599"/>
      <c r="O91" s="599"/>
      <c r="P91" s="599"/>
      <c r="Q91" s="599"/>
      <c r="R91" s="599"/>
      <c r="S91" s="600"/>
      <c r="T91" s="581"/>
      <c r="U91" s="581"/>
      <c r="V91" s="581"/>
      <c r="W91" s="581"/>
      <c r="X91" s="581"/>
      <c r="Y91" s="582"/>
      <c r="Z91" s="582"/>
      <c r="AA91" s="582"/>
      <c r="AB91" s="582"/>
      <c r="AC91" s="582"/>
      <c r="AD91" s="582"/>
      <c r="AE91" s="582"/>
      <c r="AF91" s="582"/>
      <c r="AG91" s="582"/>
      <c r="AH91" s="582"/>
      <c r="AI91" s="582"/>
      <c r="AJ91" s="582"/>
      <c r="AK91" s="582"/>
      <c r="AL91" s="582"/>
      <c r="AM91" s="582"/>
      <c r="AN91" s="582"/>
      <c r="AO91" s="582"/>
      <c r="AP91" s="582"/>
      <c r="AQ91" s="582"/>
      <c r="AR91" s="582"/>
      <c r="AS91" s="582"/>
      <c r="AT91" s="582"/>
      <c r="AU91" s="582"/>
      <c r="AV91" s="582"/>
      <c r="AW91" s="582"/>
      <c r="AX91" s="582"/>
      <c r="AY91" s="582"/>
      <c r="AZ91" s="582"/>
      <c r="BA91" s="582"/>
      <c r="BB91" s="582"/>
    </row>
    <row r="92" spans="2:54" s="583" customFormat="1" ht="13.9" customHeight="1" x14ac:dyDescent="0.35">
      <c r="B92" s="587"/>
      <c r="C92" s="587"/>
      <c r="D92" s="601"/>
      <c r="E92" s="602"/>
      <c r="F92" s="601"/>
      <c r="G92" s="601"/>
      <c r="H92" s="601"/>
      <c r="I92" s="601"/>
      <c r="J92" s="601"/>
      <c r="K92" s="601"/>
      <c r="L92" s="601"/>
      <c r="M92" s="601"/>
      <c r="N92" s="601"/>
      <c r="O92" s="601"/>
      <c r="P92" s="601"/>
      <c r="R92" s="581"/>
      <c r="S92" s="581"/>
      <c r="T92" s="581"/>
      <c r="U92" s="581"/>
      <c r="V92" s="581"/>
      <c r="W92" s="581"/>
      <c r="X92" s="581"/>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row>
    <row r="93" spans="2:54" s="583" customFormat="1" ht="17.5" customHeight="1" x14ac:dyDescent="0.4">
      <c r="B93" s="587"/>
      <c r="C93" s="587"/>
      <c r="D93" s="577"/>
      <c r="E93" s="578" t="s">
        <v>159</v>
      </c>
      <c r="F93" s="578"/>
      <c r="G93" s="578"/>
      <c r="H93" s="579"/>
      <c r="I93" s="579"/>
      <c r="J93" s="579"/>
      <c r="K93" s="579"/>
      <c r="L93" s="579"/>
      <c r="M93" s="579"/>
      <c r="N93" s="579"/>
      <c r="O93" s="579"/>
      <c r="P93" s="579"/>
      <c r="Q93" s="579"/>
      <c r="R93" s="579"/>
      <c r="S93" s="580"/>
      <c r="T93" s="581"/>
      <c r="U93" s="581"/>
      <c r="V93" s="581"/>
      <c r="W93" s="581"/>
      <c r="X93" s="581"/>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row>
    <row r="94" spans="2:54" s="583" customFormat="1" ht="13.9" customHeight="1" x14ac:dyDescent="0.3">
      <c r="B94" s="587"/>
      <c r="C94" s="587"/>
      <c r="D94" s="584"/>
      <c r="E94" s="585"/>
      <c r="F94" s="585"/>
      <c r="G94" s="585"/>
      <c r="H94" s="585"/>
      <c r="I94" s="585"/>
      <c r="J94" s="585"/>
      <c r="K94" s="585"/>
      <c r="L94" s="585"/>
      <c r="M94" s="585"/>
      <c r="N94" s="585"/>
      <c r="O94" s="585"/>
      <c r="P94" s="585"/>
      <c r="Q94" s="585"/>
      <c r="R94" s="585"/>
      <c r="S94" s="586"/>
      <c r="T94" s="581"/>
      <c r="U94" s="581"/>
      <c r="V94" s="581"/>
      <c r="W94" s="581"/>
      <c r="X94" s="581"/>
      <c r="Y94" s="582"/>
      <c r="Z94" s="582"/>
      <c r="AA94" s="582"/>
      <c r="AB94" s="582"/>
      <c r="AC94" s="582"/>
      <c r="AD94" s="582"/>
      <c r="AE94" s="582"/>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row>
    <row r="95" spans="2:54" s="583" customFormat="1" ht="13.9" customHeight="1" x14ac:dyDescent="0.3">
      <c r="B95" s="587"/>
      <c r="C95" s="587"/>
      <c r="D95" s="584"/>
      <c r="E95" s="585"/>
      <c r="F95" s="585"/>
      <c r="G95" s="585"/>
      <c r="H95" s="585"/>
      <c r="I95" s="585"/>
      <c r="J95" s="585"/>
      <c r="K95" s="585"/>
      <c r="L95" s="585"/>
      <c r="M95" s="585"/>
      <c r="N95" s="585"/>
      <c r="O95" s="585"/>
      <c r="P95" s="585"/>
      <c r="Q95" s="585"/>
      <c r="R95" s="585"/>
      <c r="S95" s="586"/>
      <c r="T95" s="581"/>
      <c r="U95" s="581"/>
      <c r="V95" s="581"/>
      <c r="W95" s="581"/>
      <c r="X95" s="581"/>
      <c r="Y95" s="582"/>
      <c r="Z95" s="582"/>
      <c r="AA95" s="582"/>
      <c r="AB95" s="582"/>
      <c r="AC95" s="582"/>
      <c r="AD95" s="582"/>
      <c r="AE95" s="582"/>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row>
    <row r="96" spans="2:54" s="583" customFormat="1" ht="13.9" customHeight="1" x14ac:dyDescent="0.3">
      <c r="B96" s="587"/>
      <c r="C96" s="587"/>
      <c r="D96" s="584"/>
      <c r="E96" s="585"/>
      <c r="F96" s="585"/>
      <c r="G96" s="585"/>
      <c r="H96" s="585"/>
      <c r="I96" s="585"/>
      <c r="J96" s="585"/>
      <c r="K96" s="585"/>
      <c r="L96" s="585"/>
      <c r="M96" s="585"/>
      <c r="N96" s="585"/>
      <c r="O96" s="585"/>
      <c r="P96" s="585"/>
      <c r="Q96" s="585"/>
      <c r="R96" s="585"/>
      <c r="S96" s="586"/>
      <c r="T96" s="581"/>
      <c r="U96" s="581"/>
      <c r="V96" s="581"/>
      <c r="W96" s="581" t="s">
        <v>381</v>
      </c>
      <c r="X96" s="581"/>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row>
    <row r="97" spans="2:54" s="583" customFormat="1" ht="13.9" customHeight="1" x14ac:dyDescent="0.3">
      <c r="B97" s="587"/>
      <c r="C97" s="587"/>
      <c r="D97" s="584"/>
      <c r="E97" s="585"/>
      <c r="F97" s="585"/>
      <c r="G97" s="585"/>
      <c r="H97" s="585"/>
      <c r="I97" s="585"/>
      <c r="J97" s="585"/>
      <c r="K97" s="585"/>
      <c r="L97" s="585"/>
      <c r="M97" s="585"/>
      <c r="N97" s="585"/>
      <c r="O97" s="585"/>
      <c r="P97" s="585"/>
      <c r="Q97" s="585"/>
      <c r="R97" s="585"/>
      <c r="S97" s="586"/>
      <c r="T97" s="581"/>
      <c r="U97" s="581"/>
      <c r="V97" s="581"/>
      <c r="W97" s="589"/>
      <c r="X97" s="589"/>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row>
    <row r="98" spans="2:54" s="583" customFormat="1" ht="13.9" customHeight="1" x14ac:dyDescent="0.3">
      <c r="B98" s="587"/>
      <c r="C98" s="587"/>
      <c r="D98" s="584"/>
      <c r="E98" s="585"/>
      <c r="F98" s="585"/>
      <c r="G98" s="585"/>
      <c r="H98" s="585"/>
      <c r="I98" s="585"/>
      <c r="J98" s="585"/>
      <c r="K98" s="585"/>
      <c r="L98" s="585"/>
      <c r="M98" s="585"/>
      <c r="N98" s="585"/>
      <c r="O98" s="585"/>
      <c r="P98" s="585"/>
      <c r="Q98" s="585"/>
      <c r="R98" s="585"/>
      <c r="S98" s="586"/>
      <c r="T98" s="581"/>
      <c r="U98" s="581"/>
      <c r="V98" s="581"/>
      <c r="W98" s="589" t="s">
        <v>281</v>
      </c>
      <c r="X98" s="603">
        <f ca="1">H65</f>
        <v>102307.72222222222</v>
      </c>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2"/>
      <c r="AY98" s="582"/>
      <c r="AZ98" s="582"/>
      <c r="BA98" s="582"/>
      <c r="BB98" s="582"/>
    </row>
    <row r="99" spans="2:54" s="583" customFormat="1" ht="13.9" customHeight="1" x14ac:dyDescent="0.3">
      <c r="B99" s="587"/>
      <c r="C99" s="587"/>
      <c r="D99" s="584"/>
      <c r="E99" s="585"/>
      <c r="F99" s="585"/>
      <c r="G99" s="585"/>
      <c r="H99" s="585"/>
      <c r="I99" s="585"/>
      <c r="J99" s="585"/>
      <c r="K99" s="585"/>
      <c r="L99" s="585"/>
      <c r="M99" s="585"/>
      <c r="N99" s="585"/>
      <c r="O99" s="585"/>
      <c r="P99" s="585"/>
      <c r="Q99" s="585"/>
      <c r="R99" s="585"/>
      <c r="S99" s="586"/>
      <c r="T99" s="581"/>
      <c r="U99" s="581"/>
      <c r="V99" s="581"/>
      <c r="W99" s="589" t="s">
        <v>282</v>
      </c>
      <c r="X99" s="603">
        <f t="shared" ref="X99:X100" ca="1" si="14">H66</f>
        <v>46204.444444444438</v>
      </c>
      <c r="Y99" s="582"/>
      <c r="Z99" s="582"/>
      <c r="AA99" s="582"/>
      <c r="AB99" s="582"/>
      <c r="AC99" s="582"/>
      <c r="AD99" s="582"/>
      <c r="AE99" s="582"/>
      <c r="AF99" s="582"/>
      <c r="AG99" s="582"/>
      <c r="AH99" s="582"/>
      <c r="AI99" s="582"/>
      <c r="AJ99" s="582"/>
      <c r="AK99" s="582"/>
      <c r="AL99" s="582"/>
      <c r="AM99" s="582"/>
      <c r="AN99" s="582"/>
      <c r="AO99" s="582"/>
      <c r="AP99" s="582"/>
      <c r="AQ99" s="582"/>
      <c r="AR99" s="582"/>
      <c r="AS99" s="582"/>
      <c r="AT99" s="582"/>
      <c r="AU99" s="582"/>
      <c r="AV99" s="582"/>
      <c r="AW99" s="582"/>
      <c r="AX99" s="582"/>
      <c r="AY99" s="582"/>
      <c r="AZ99" s="582"/>
      <c r="BA99" s="582"/>
      <c r="BB99" s="582"/>
    </row>
    <row r="100" spans="2:54" s="583" customFormat="1" ht="13.9" customHeight="1" x14ac:dyDescent="0.3">
      <c r="B100" s="587"/>
      <c r="C100" s="587"/>
      <c r="D100" s="584"/>
      <c r="E100" s="585"/>
      <c r="F100" s="585"/>
      <c r="G100" s="585"/>
      <c r="H100" s="585"/>
      <c r="I100" s="585"/>
      <c r="J100" s="585"/>
      <c r="K100" s="585"/>
      <c r="L100" s="585"/>
      <c r="M100" s="585"/>
      <c r="N100" s="585"/>
      <c r="O100" s="585"/>
      <c r="P100" s="585"/>
      <c r="Q100" s="585"/>
      <c r="R100" s="585"/>
      <c r="S100" s="586"/>
      <c r="T100" s="581"/>
      <c r="U100" s="581"/>
      <c r="V100" s="581"/>
      <c r="W100" s="589" t="s">
        <v>283</v>
      </c>
      <c r="X100" s="603">
        <f t="shared" ca="1" si="14"/>
        <v>49048.2</v>
      </c>
      <c r="Y100" s="582"/>
      <c r="Z100" s="582"/>
      <c r="AA100" s="582"/>
      <c r="AB100" s="582"/>
      <c r="AC100" s="582"/>
      <c r="AD100" s="582"/>
      <c r="AE100" s="582"/>
      <c r="AF100" s="582"/>
      <c r="AG100" s="582"/>
      <c r="AH100" s="582"/>
      <c r="AI100" s="582"/>
      <c r="AJ100" s="582"/>
      <c r="AK100" s="582"/>
      <c r="AL100" s="582"/>
      <c r="AM100" s="582"/>
      <c r="AN100" s="582"/>
      <c r="AO100" s="582"/>
      <c r="AP100" s="582"/>
      <c r="AQ100" s="582"/>
      <c r="AR100" s="582"/>
      <c r="AS100" s="582"/>
      <c r="AT100" s="582"/>
      <c r="AU100" s="582"/>
      <c r="AV100" s="582"/>
      <c r="AW100" s="582"/>
      <c r="AX100" s="582"/>
      <c r="AY100" s="582"/>
      <c r="AZ100" s="582"/>
      <c r="BA100" s="582"/>
      <c r="BB100" s="582"/>
    </row>
    <row r="101" spans="2:54" s="583" customFormat="1" ht="13.9" customHeight="1" x14ac:dyDescent="0.3">
      <c r="B101" s="587"/>
      <c r="C101" s="587"/>
      <c r="D101" s="584"/>
      <c r="E101" s="585"/>
      <c r="F101" s="585"/>
      <c r="G101" s="585"/>
      <c r="H101" s="585"/>
      <c r="I101" s="585"/>
      <c r="J101" s="585"/>
      <c r="K101" s="585"/>
      <c r="L101" s="585"/>
      <c r="M101" s="585"/>
      <c r="N101" s="585"/>
      <c r="O101" s="585"/>
      <c r="P101" s="585"/>
      <c r="Q101" s="585"/>
      <c r="R101" s="585"/>
      <c r="S101" s="586"/>
      <c r="T101" s="581"/>
      <c r="U101" s="581"/>
      <c r="V101" s="581"/>
      <c r="W101" s="589" t="s">
        <v>108</v>
      </c>
      <c r="X101" s="603">
        <f ca="1">H64</f>
        <v>199809.25555555554</v>
      </c>
      <c r="Y101" s="582"/>
      <c r="Z101" s="582"/>
      <c r="AA101" s="582"/>
      <c r="AB101" s="582"/>
      <c r="AC101" s="582"/>
      <c r="AD101" s="582"/>
      <c r="AE101" s="582"/>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c r="AZ101" s="582"/>
      <c r="BA101" s="582"/>
      <c r="BB101" s="582"/>
    </row>
    <row r="102" spans="2:54" s="583" customFormat="1" ht="13.9" customHeight="1" x14ac:dyDescent="0.3">
      <c r="B102" s="587"/>
      <c r="C102" s="587"/>
      <c r="D102" s="584"/>
      <c r="E102" s="585"/>
      <c r="F102" s="585"/>
      <c r="G102" s="585"/>
      <c r="H102" s="585"/>
      <c r="I102" s="585"/>
      <c r="J102" s="585"/>
      <c r="K102" s="585"/>
      <c r="L102" s="585"/>
      <c r="M102" s="585"/>
      <c r="N102" s="585"/>
      <c r="O102" s="585"/>
      <c r="P102" s="585"/>
      <c r="Q102" s="585"/>
      <c r="R102" s="585"/>
      <c r="S102" s="586"/>
      <c r="T102" s="581"/>
      <c r="U102" s="581"/>
      <c r="V102" s="581"/>
      <c r="W102" s="581"/>
      <c r="X102" s="581"/>
      <c r="Y102" s="582"/>
      <c r="Z102" s="582"/>
      <c r="AA102" s="582"/>
      <c r="AB102" s="582"/>
      <c r="AC102" s="582"/>
      <c r="AD102" s="582"/>
      <c r="AE102" s="582"/>
      <c r="AF102" s="582"/>
      <c r="AG102" s="582"/>
      <c r="AH102" s="582"/>
      <c r="AI102" s="582"/>
      <c r="AJ102" s="582"/>
      <c r="AK102" s="582"/>
      <c r="AL102" s="582"/>
      <c r="AM102" s="582"/>
      <c r="AN102" s="582"/>
      <c r="AO102" s="582"/>
      <c r="AP102" s="582"/>
      <c r="AQ102" s="582"/>
      <c r="AR102" s="582"/>
      <c r="AS102" s="582"/>
      <c r="AT102" s="582"/>
      <c r="AU102" s="582"/>
      <c r="AV102" s="582"/>
      <c r="AW102" s="582"/>
      <c r="AX102" s="582"/>
      <c r="AY102" s="582"/>
      <c r="AZ102" s="582"/>
      <c r="BA102" s="582"/>
      <c r="BB102" s="582"/>
    </row>
    <row r="103" spans="2:54" s="583" customFormat="1" ht="13.9" customHeight="1" x14ac:dyDescent="0.3">
      <c r="B103" s="587"/>
      <c r="C103" s="587"/>
      <c r="D103" s="584"/>
      <c r="E103" s="585"/>
      <c r="F103" s="585"/>
      <c r="G103" s="585"/>
      <c r="H103" s="585"/>
      <c r="I103" s="585"/>
      <c r="J103" s="585"/>
      <c r="K103" s="585"/>
      <c r="L103" s="585"/>
      <c r="M103" s="585"/>
      <c r="N103" s="585"/>
      <c r="O103" s="585"/>
      <c r="P103" s="585"/>
      <c r="Q103" s="585"/>
      <c r="R103" s="585"/>
      <c r="S103" s="586"/>
      <c r="T103" s="581"/>
      <c r="U103" s="581"/>
      <c r="V103" s="581"/>
      <c r="W103" s="581"/>
      <c r="X103" s="581"/>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row>
    <row r="104" spans="2:54" s="583" customFormat="1" ht="13.9" customHeight="1" x14ac:dyDescent="0.3">
      <c r="B104" s="587"/>
      <c r="C104" s="587"/>
      <c r="D104" s="584"/>
      <c r="E104" s="585"/>
      <c r="F104" s="585"/>
      <c r="G104" s="585"/>
      <c r="H104" s="585"/>
      <c r="I104" s="585"/>
      <c r="J104" s="585"/>
      <c r="K104" s="585"/>
      <c r="L104" s="585"/>
      <c r="M104" s="585"/>
      <c r="N104" s="585"/>
      <c r="O104" s="585"/>
      <c r="P104" s="585"/>
      <c r="Q104" s="585"/>
      <c r="R104" s="585"/>
      <c r="S104" s="586"/>
      <c r="T104" s="581"/>
      <c r="U104" s="581"/>
      <c r="V104" s="581"/>
      <c r="W104" s="581"/>
      <c r="X104" s="581"/>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row>
    <row r="105" spans="2:54" s="583" customFormat="1" ht="13.9" customHeight="1" x14ac:dyDescent="0.3">
      <c r="B105" s="587"/>
      <c r="C105" s="587"/>
      <c r="D105" s="584"/>
      <c r="E105" s="585"/>
      <c r="F105" s="585"/>
      <c r="G105" s="585"/>
      <c r="H105" s="585"/>
      <c r="I105" s="585"/>
      <c r="J105" s="585"/>
      <c r="K105" s="585"/>
      <c r="L105" s="585"/>
      <c r="M105" s="585"/>
      <c r="N105" s="585"/>
      <c r="O105" s="585"/>
      <c r="P105" s="585"/>
      <c r="Q105" s="585"/>
      <c r="R105" s="585"/>
      <c r="S105" s="586"/>
      <c r="T105" s="581"/>
      <c r="U105" s="581"/>
      <c r="V105" s="581"/>
      <c r="W105" s="581"/>
      <c r="X105" s="581"/>
      <c r="Y105" s="582"/>
      <c r="Z105" s="582"/>
      <c r="AA105" s="582"/>
      <c r="AB105" s="582"/>
      <c r="AC105" s="582"/>
      <c r="AD105" s="582"/>
      <c r="AE105" s="582"/>
      <c r="AF105" s="582"/>
      <c r="AG105" s="582"/>
      <c r="AH105" s="582"/>
      <c r="AI105" s="582"/>
      <c r="AJ105" s="582"/>
      <c r="AK105" s="582"/>
      <c r="AL105" s="582"/>
      <c r="AM105" s="582"/>
      <c r="AN105" s="582"/>
      <c r="AO105" s="582"/>
      <c r="AP105" s="582"/>
      <c r="AQ105" s="582"/>
      <c r="AR105" s="582"/>
      <c r="AS105" s="582"/>
      <c r="AT105" s="582"/>
      <c r="AU105" s="582"/>
      <c r="AV105" s="582"/>
      <c r="AW105" s="582"/>
      <c r="AX105" s="582"/>
      <c r="AY105" s="582"/>
      <c r="AZ105" s="582"/>
      <c r="BA105" s="582"/>
      <c r="BB105" s="582"/>
    </row>
    <row r="106" spans="2:54" s="583" customFormat="1" ht="13.9" customHeight="1" x14ac:dyDescent="0.3">
      <c r="B106" s="587"/>
      <c r="C106" s="587"/>
      <c r="D106" s="584"/>
      <c r="E106" s="585"/>
      <c r="F106" s="585"/>
      <c r="G106" s="585"/>
      <c r="H106" s="585"/>
      <c r="I106" s="585"/>
      <c r="J106" s="585"/>
      <c r="K106" s="585"/>
      <c r="L106" s="585"/>
      <c r="M106" s="585"/>
      <c r="N106" s="585"/>
      <c r="O106" s="585"/>
      <c r="P106" s="585"/>
      <c r="Q106" s="585"/>
      <c r="R106" s="585"/>
      <c r="S106" s="586"/>
      <c r="T106" s="581"/>
      <c r="U106" s="581"/>
      <c r="V106" s="581"/>
      <c r="W106" s="581"/>
      <c r="X106" s="581"/>
      <c r="Y106" s="582"/>
      <c r="Z106" s="582"/>
      <c r="AA106" s="582"/>
      <c r="AB106" s="582"/>
      <c r="AC106" s="582"/>
      <c r="AD106" s="582"/>
      <c r="AE106" s="582"/>
      <c r="AF106" s="582"/>
      <c r="AG106" s="582"/>
      <c r="AH106" s="582"/>
      <c r="AI106" s="582"/>
      <c r="AJ106" s="582"/>
      <c r="AK106" s="582"/>
      <c r="AL106" s="582"/>
      <c r="AM106" s="582"/>
      <c r="AN106" s="582"/>
      <c r="AO106" s="582"/>
      <c r="AP106" s="582"/>
      <c r="AQ106" s="582"/>
      <c r="AR106" s="582"/>
      <c r="AS106" s="582"/>
      <c r="AT106" s="582"/>
      <c r="AU106" s="582"/>
      <c r="AV106" s="582"/>
      <c r="AW106" s="582"/>
      <c r="AX106" s="582"/>
      <c r="AY106" s="582"/>
      <c r="AZ106" s="582"/>
      <c r="BA106" s="582"/>
      <c r="BB106" s="582"/>
    </row>
    <row r="107" spans="2:54" s="583" customFormat="1" ht="13.9" customHeight="1" x14ac:dyDescent="0.3">
      <c r="B107" s="587"/>
      <c r="C107" s="587"/>
      <c r="D107" s="584"/>
      <c r="E107" s="585"/>
      <c r="F107" s="585"/>
      <c r="G107" s="585"/>
      <c r="H107" s="585"/>
      <c r="I107" s="585"/>
      <c r="J107" s="585"/>
      <c r="K107" s="585"/>
      <c r="L107" s="585"/>
      <c r="M107" s="585"/>
      <c r="N107" s="585"/>
      <c r="O107" s="585"/>
      <c r="P107" s="585"/>
      <c r="Q107" s="585"/>
      <c r="R107" s="585"/>
      <c r="S107" s="586"/>
      <c r="T107" s="581"/>
      <c r="U107" s="581"/>
      <c r="V107" s="581"/>
      <c r="W107" s="581"/>
      <c r="X107" s="581"/>
      <c r="Y107" s="582"/>
      <c r="Z107" s="582"/>
      <c r="AA107" s="582"/>
      <c r="AB107" s="582"/>
      <c r="AC107" s="582"/>
      <c r="AD107" s="582"/>
      <c r="AE107" s="582"/>
      <c r="AF107" s="582"/>
      <c r="AG107" s="582"/>
      <c r="AH107" s="582"/>
      <c r="AI107" s="582"/>
      <c r="AJ107" s="582"/>
      <c r="AK107" s="582"/>
      <c r="AL107" s="582"/>
      <c r="AM107" s="582"/>
      <c r="AN107" s="582"/>
      <c r="AO107" s="582"/>
      <c r="AP107" s="582"/>
      <c r="AQ107" s="582"/>
      <c r="AR107" s="582"/>
      <c r="AS107" s="582"/>
      <c r="AT107" s="582"/>
      <c r="AU107" s="582"/>
      <c r="AV107" s="582"/>
      <c r="AW107" s="582"/>
      <c r="AX107" s="582"/>
      <c r="AY107" s="582"/>
      <c r="AZ107" s="582"/>
      <c r="BA107" s="582"/>
      <c r="BB107" s="582"/>
    </row>
    <row r="108" spans="2:54" s="583" customFormat="1" ht="13.9" customHeight="1" x14ac:dyDescent="0.3">
      <c r="B108" s="587"/>
      <c r="C108" s="587"/>
      <c r="D108" s="584"/>
      <c r="E108" s="585"/>
      <c r="F108" s="585"/>
      <c r="G108" s="585"/>
      <c r="H108" s="585"/>
      <c r="I108" s="585"/>
      <c r="J108" s="585"/>
      <c r="K108" s="585"/>
      <c r="L108" s="585"/>
      <c r="M108" s="585"/>
      <c r="N108" s="585"/>
      <c r="O108" s="585"/>
      <c r="P108" s="585"/>
      <c r="Q108" s="585"/>
      <c r="R108" s="585"/>
      <c r="S108" s="586"/>
      <c r="T108" s="581"/>
      <c r="U108" s="581"/>
      <c r="V108" s="581"/>
      <c r="W108" s="581"/>
      <c r="X108" s="581"/>
      <c r="Y108" s="582"/>
      <c r="Z108" s="582"/>
      <c r="AA108" s="582"/>
      <c r="AB108" s="582"/>
      <c r="AC108" s="582"/>
      <c r="AD108" s="582"/>
      <c r="AE108" s="582"/>
      <c r="AF108" s="582"/>
      <c r="AG108" s="582"/>
      <c r="AH108" s="582"/>
      <c r="AI108" s="582"/>
      <c r="AJ108" s="582"/>
      <c r="AK108" s="582"/>
      <c r="AL108" s="582"/>
      <c r="AM108" s="582"/>
      <c r="AN108" s="582"/>
      <c r="AO108" s="582"/>
      <c r="AP108" s="582"/>
      <c r="AQ108" s="582"/>
      <c r="AR108" s="582"/>
      <c r="AS108" s="582"/>
      <c r="AT108" s="582"/>
      <c r="AU108" s="582"/>
      <c r="AV108" s="582"/>
      <c r="AW108" s="582"/>
      <c r="AX108" s="582"/>
      <c r="AY108" s="582"/>
      <c r="AZ108" s="582"/>
      <c r="BA108" s="582"/>
      <c r="BB108" s="582"/>
    </row>
    <row r="109" spans="2:54" s="583" customFormat="1" ht="13.9" customHeight="1" x14ac:dyDescent="0.3">
      <c r="B109" s="587"/>
      <c r="C109" s="587"/>
      <c r="D109" s="584"/>
      <c r="E109" s="585"/>
      <c r="F109" s="585"/>
      <c r="G109" s="585"/>
      <c r="H109" s="585"/>
      <c r="I109" s="585"/>
      <c r="J109" s="585"/>
      <c r="K109" s="585"/>
      <c r="L109" s="585"/>
      <c r="M109" s="585"/>
      <c r="N109" s="585"/>
      <c r="O109" s="585"/>
      <c r="P109" s="585"/>
      <c r="Q109" s="585"/>
      <c r="R109" s="585"/>
      <c r="S109" s="586"/>
      <c r="T109" s="581"/>
      <c r="U109" s="581"/>
      <c r="V109" s="581"/>
      <c r="W109" s="581"/>
      <c r="X109" s="581"/>
      <c r="Y109" s="582"/>
      <c r="Z109" s="582"/>
      <c r="AA109" s="582"/>
      <c r="AB109" s="582"/>
      <c r="AC109" s="582"/>
      <c r="AD109" s="582"/>
      <c r="AE109" s="582"/>
      <c r="AF109" s="582"/>
      <c r="AG109" s="582"/>
      <c r="AH109" s="582"/>
      <c r="AI109" s="582"/>
      <c r="AJ109" s="582"/>
      <c r="AK109" s="582"/>
      <c r="AL109" s="582"/>
      <c r="AM109" s="582"/>
      <c r="AN109" s="582"/>
      <c r="AO109" s="582"/>
      <c r="AP109" s="582"/>
      <c r="AQ109" s="582"/>
      <c r="AR109" s="582"/>
      <c r="AS109" s="582"/>
      <c r="AT109" s="582"/>
      <c r="AU109" s="582"/>
      <c r="AV109" s="582"/>
      <c r="AW109" s="582"/>
      <c r="AX109" s="582"/>
      <c r="AY109" s="582"/>
      <c r="AZ109" s="582"/>
      <c r="BA109" s="582"/>
      <c r="BB109" s="582"/>
    </row>
    <row r="110" spans="2:54" s="583" customFormat="1" ht="13.9" customHeight="1" x14ac:dyDescent="0.3">
      <c r="B110" s="587"/>
      <c r="C110" s="587"/>
      <c r="D110" s="584"/>
      <c r="E110" s="585"/>
      <c r="F110" s="585"/>
      <c r="G110" s="585"/>
      <c r="H110" s="585"/>
      <c r="I110" s="585"/>
      <c r="J110" s="585"/>
      <c r="K110" s="585"/>
      <c r="L110" s="585"/>
      <c r="M110" s="585"/>
      <c r="N110" s="585"/>
      <c r="O110" s="585"/>
      <c r="P110" s="585"/>
      <c r="Q110" s="585"/>
      <c r="R110" s="585"/>
      <c r="S110" s="586"/>
      <c r="T110" s="581"/>
      <c r="U110" s="581"/>
      <c r="V110" s="581"/>
      <c r="W110" s="581"/>
      <c r="X110" s="581"/>
      <c r="Y110" s="582"/>
      <c r="Z110" s="582"/>
      <c r="AA110" s="582"/>
      <c r="AB110" s="582"/>
      <c r="AC110" s="582"/>
      <c r="AD110" s="582"/>
      <c r="AE110" s="582"/>
      <c r="AF110" s="582"/>
      <c r="AG110" s="582"/>
      <c r="AH110" s="582"/>
      <c r="AI110" s="582"/>
      <c r="AJ110" s="582"/>
      <c r="AK110" s="582"/>
      <c r="AL110" s="582"/>
      <c r="AM110" s="582"/>
      <c r="AN110" s="582"/>
      <c r="AO110" s="582"/>
      <c r="AP110" s="582"/>
      <c r="AQ110" s="582"/>
      <c r="AR110" s="582"/>
      <c r="AS110" s="582"/>
      <c r="AT110" s="582"/>
      <c r="AU110" s="582"/>
      <c r="AV110" s="582"/>
      <c r="AW110" s="582"/>
      <c r="AX110" s="582"/>
      <c r="AY110" s="582"/>
      <c r="AZ110" s="582"/>
      <c r="BA110" s="582"/>
      <c r="BB110" s="582"/>
    </row>
    <row r="111" spans="2:54" s="583" customFormat="1" ht="13.9" customHeight="1" x14ac:dyDescent="0.3">
      <c r="B111" s="587"/>
      <c r="C111" s="587"/>
      <c r="D111" s="584"/>
      <c r="E111" s="585"/>
      <c r="F111" s="585"/>
      <c r="G111" s="585"/>
      <c r="H111" s="585"/>
      <c r="I111" s="585"/>
      <c r="J111" s="585"/>
      <c r="K111" s="585"/>
      <c r="L111" s="585"/>
      <c r="M111" s="585"/>
      <c r="N111" s="585"/>
      <c r="O111" s="585"/>
      <c r="P111" s="585"/>
      <c r="Q111" s="585"/>
      <c r="R111" s="585"/>
      <c r="S111" s="586"/>
      <c r="T111" s="581"/>
      <c r="U111" s="581"/>
      <c r="V111" s="581"/>
      <c r="W111" s="581"/>
      <c r="X111" s="581"/>
      <c r="Y111" s="582"/>
      <c r="Z111" s="582"/>
      <c r="AA111" s="582"/>
      <c r="AB111" s="582"/>
      <c r="AC111" s="582"/>
      <c r="AD111" s="582"/>
      <c r="AE111" s="582"/>
      <c r="AF111" s="582"/>
      <c r="AG111" s="582"/>
      <c r="AH111" s="582"/>
      <c r="AI111" s="582"/>
      <c r="AJ111" s="582"/>
      <c r="AK111" s="582"/>
      <c r="AL111" s="582"/>
      <c r="AM111" s="582"/>
      <c r="AN111" s="582"/>
      <c r="AO111" s="582"/>
      <c r="AP111" s="582"/>
      <c r="AQ111" s="582"/>
      <c r="AR111" s="582"/>
      <c r="AS111" s="582"/>
      <c r="AT111" s="582"/>
      <c r="AU111" s="582"/>
      <c r="AV111" s="582"/>
      <c r="AW111" s="582"/>
      <c r="AX111" s="582"/>
      <c r="AY111" s="582"/>
      <c r="AZ111" s="582"/>
      <c r="BA111" s="582"/>
      <c r="BB111" s="582"/>
    </row>
    <row r="112" spans="2:54" s="583" customFormat="1" ht="13.9" customHeight="1" x14ac:dyDescent="0.3">
      <c r="B112" s="587"/>
      <c r="C112" s="587"/>
      <c r="D112" s="598"/>
      <c r="E112" s="599"/>
      <c r="F112" s="599"/>
      <c r="G112" s="599"/>
      <c r="H112" s="599"/>
      <c r="I112" s="599"/>
      <c r="J112" s="599"/>
      <c r="K112" s="599"/>
      <c r="L112" s="599"/>
      <c r="M112" s="599"/>
      <c r="N112" s="599"/>
      <c r="O112" s="599"/>
      <c r="P112" s="599"/>
      <c r="Q112" s="599"/>
      <c r="R112" s="599"/>
      <c r="S112" s="600"/>
      <c r="T112" s="581"/>
      <c r="U112" s="581"/>
      <c r="V112" s="581"/>
      <c r="W112" s="581"/>
      <c r="X112" s="581"/>
      <c r="Y112" s="582"/>
      <c r="Z112" s="582"/>
      <c r="AA112" s="582"/>
      <c r="AB112" s="582"/>
      <c r="AC112" s="582"/>
      <c r="AD112" s="582"/>
      <c r="AE112" s="582"/>
      <c r="AF112" s="582"/>
      <c r="AG112" s="582"/>
      <c r="AH112" s="582"/>
      <c r="AI112" s="582"/>
      <c r="AJ112" s="582"/>
      <c r="AK112" s="582"/>
      <c r="AL112" s="582"/>
      <c r="AM112" s="582"/>
      <c r="AN112" s="582"/>
      <c r="AO112" s="582"/>
      <c r="AP112" s="582"/>
      <c r="AQ112" s="582"/>
      <c r="AR112" s="582"/>
      <c r="AS112" s="582"/>
      <c r="AT112" s="582"/>
      <c r="AU112" s="582"/>
      <c r="AV112" s="582"/>
      <c r="AW112" s="582"/>
      <c r="AX112" s="582"/>
      <c r="AY112" s="582"/>
      <c r="AZ112" s="582"/>
      <c r="BA112" s="582"/>
      <c r="BB112" s="582"/>
    </row>
    <row r="113" spans="1:54" s="583" customFormat="1" ht="13.9" customHeight="1" x14ac:dyDescent="0.35">
      <c r="B113" s="587"/>
      <c r="C113" s="587"/>
      <c r="E113" s="604"/>
      <c r="R113" s="581"/>
      <c r="S113" s="581"/>
      <c r="T113" s="581"/>
      <c r="U113" s="581"/>
      <c r="V113" s="581"/>
      <c r="W113" s="581"/>
      <c r="X113" s="581"/>
      <c r="Y113" s="582"/>
      <c r="Z113" s="582"/>
      <c r="AA113" s="582"/>
      <c r="AB113" s="582"/>
      <c r="AC113" s="582"/>
      <c r="AD113" s="582"/>
      <c r="AE113" s="582"/>
      <c r="AF113" s="582"/>
      <c r="AG113" s="582"/>
      <c r="AH113" s="582"/>
      <c r="AI113" s="582"/>
      <c r="AJ113" s="582"/>
      <c r="AK113" s="582"/>
      <c r="AL113" s="582"/>
      <c r="AM113" s="582"/>
      <c r="AN113" s="582"/>
      <c r="AO113" s="582"/>
      <c r="AP113" s="582"/>
      <c r="AQ113" s="582"/>
      <c r="AR113" s="582"/>
      <c r="AS113" s="582"/>
      <c r="AT113" s="582"/>
      <c r="AU113" s="582"/>
      <c r="AV113" s="582"/>
      <c r="AW113" s="582"/>
      <c r="AX113" s="582"/>
      <c r="AY113" s="582"/>
      <c r="AZ113" s="582"/>
      <c r="BA113" s="582"/>
      <c r="BB113" s="582"/>
    </row>
    <row r="114" spans="1:54" s="583" customFormat="1" ht="17.5" customHeight="1" x14ac:dyDescent="0.4">
      <c r="B114" s="587"/>
      <c r="C114" s="587"/>
      <c r="D114" s="577"/>
      <c r="E114" s="578" t="s">
        <v>166</v>
      </c>
      <c r="F114" s="578"/>
      <c r="G114" s="578"/>
      <c r="H114" s="579"/>
      <c r="I114" s="579"/>
      <c r="J114" s="579"/>
      <c r="K114" s="579"/>
      <c r="L114" s="579"/>
      <c r="M114" s="579"/>
      <c r="N114" s="579"/>
      <c r="O114" s="579"/>
      <c r="P114" s="579"/>
      <c r="Q114" s="579"/>
      <c r="R114" s="579"/>
      <c r="S114" s="580"/>
      <c r="T114" s="581"/>
      <c r="U114" s="581"/>
      <c r="V114" s="581"/>
      <c r="W114" s="581"/>
      <c r="X114" s="581"/>
      <c r="Y114" s="582"/>
      <c r="Z114" s="582"/>
      <c r="AA114" s="582"/>
      <c r="AB114" s="582"/>
      <c r="AC114" s="582"/>
      <c r="AD114" s="582"/>
      <c r="AE114" s="582"/>
      <c r="AF114" s="582"/>
      <c r="AG114" s="582"/>
      <c r="AH114" s="582"/>
      <c r="AI114" s="582"/>
      <c r="AJ114" s="582"/>
      <c r="AK114" s="582"/>
      <c r="AL114" s="582"/>
      <c r="AM114" s="582"/>
      <c r="AN114" s="582"/>
      <c r="AO114" s="582"/>
      <c r="AP114" s="582"/>
      <c r="AQ114" s="582"/>
      <c r="AR114" s="582"/>
      <c r="AS114" s="582"/>
      <c r="AT114" s="582"/>
      <c r="AU114" s="582"/>
      <c r="AV114" s="582"/>
      <c r="AW114" s="582"/>
      <c r="AX114" s="582"/>
      <c r="AY114" s="582"/>
      <c r="AZ114" s="582"/>
      <c r="BA114" s="582"/>
      <c r="BB114" s="582"/>
    </row>
    <row r="115" spans="1:54" s="583" customFormat="1" ht="13.9" customHeight="1" x14ac:dyDescent="0.3">
      <c r="B115" s="587"/>
      <c r="C115" s="587"/>
      <c r="D115" s="584"/>
      <c r="E115" s="585"/>
      <c r="F115" s="585"/>
      <c r="G115" s="585"/>
      <c r="H115" s="585"/>
      <c r="I115" s="585"/>
      <c r="J115" s="585"/>
      <c r="K115" s="585"/>
      <c r="L115" s="585"/>
      <c r="M115" s="585"/>
      <c r="N115" s="585"/>
      <c r="O115" s="585"/>
      <c r="P115" s="585"/>
      <c r="Q115" s="585"/>
      <c r="R115" s="585"/>
      <c r="S115" s="586"/>
      <c r="T115" s="581"/>
      <c r="U115" s="581"/>
      <c r="V115" s="581"/>
      <c r="W115" s="581"/>
      <c r="X115" s="581"/>
      <c r="Y115" s="582"/>
      <c r="Z115" s="582"/>
      <c r="AA115" s="582"/>
      <c r="AB115" s="582"/>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2"/>
      <c r="AY115" s="582"/>
      <c r="AZ115" s="582"/>
      <c r="BA115" s="582"/>
      <c r="BB115" s="582"/>
    </row>
    <row r="116" spans="1:54" s="583" customFormat="1" ht="13.9" customHeight="1" x14ac:dyDescent="0.3">
      <c r="B116" s="587"/>
      <c r="C116" s="587"/>
      <c r="D116" s="584"/>
      <c r="E116" s="585"/>
      <c r="F116" s="585"/>
      <c r="G116" s="585"/>
      <c r="H116" s="585"/>
      <c r="I116" s="585"/>
      <c r="J116" s="585"/>
      <c r="K116" s="585"/>
      <c r="L116" s="585"/>
      <c r="M116" s="585"/>
      <c r="N116" s="585"/>
      <c r="O116" s="585"/>
      <c r="P116" s="585"/>
      <c r="Q116" s="585"/>
      <c r="R116" s="585"/>
      <c r="S116" s="586"/>
      <c r="T116" s="581"/>
      <c r="U116" s="581"/>
      <c r="V116" s="581"/>
      <c r="W116" s="581"/>
      <c r="X116" s="581"/>
      <c r="Y116" s="582"/>
      <c r="Z116" s="582"/>
      <c r="AA116" s="582"/>
      <c r="AB116" s="582"/>
      <c r="AC116" s="582"/>
      <c r="AD116" s="582"/>
      <c r="AE116" s="582"/>
      <c r="AF116" s="582"/>
      <c r="AG116" s="582"/>
      <c r="AH116" s="582"/>
      <c r="AI116" s="582"/>
      <c r="AJ116" s="582"/>
      <c r="AK116" s="582"/>
      <c r="AL116" s="582"/>
      <c r="AM116" s="582"/>
      <c r="AN116" s="582"/>
      <c r="AO116" s="582"/>
      <c r="AP116" s="582"/>
      <c r="AQ116" s="582"/>
      <c r="AR116" s="582"/>
      <c r="AS116" s="582"/>
      <c r="AT116" s="582"/>
      <c r="AU116" s="582"/>
      <c r="AV116" s="582"/>
      <c r="AW116" s="582"/>
      <c r="AX116" s="582"/>
      <c r="AY116" s="582"/>
      <c r="AZ116" s="582"/>
      <c r="BA116" s="582"/>
      <c r="BB116" s="582"/>
    </row>
    <row r="117" spans="1:54" s="583" customFormat="1" ht="13.9" customHeight="1" x14ac:dyDescent="0.3">
      <c r="B117" s="587"/>
      <c r="C117" s="587"/>
      <c r="D117" s="584"/>
      <c r="E117" s="585"/>
      <c r="F117" s="585"/>
      <c r="G117" s="585"/>
      <c r="H117" s="585"/>
      <c r="I117" s="585"/>
      <c r="J117" s="585"/>
      <c r="K117" s="585"/>
      <c r="L117" s="585"/>
      <c r="M117" s="585"/>
      <c r="N117" s="585"/>
      <c r="O117" s="585"/>
      <c r="P117" s="585"/>
      <c r="Q117" s="585"/>
      <c r="R117" s="585"/>
      <c r="S117" s="586"/>
      <c r="T117" s="581"/>
      <c r="U117" s="581"/>
      <c r="V117" s="581"/>
      <c r="W117" s="581" t="s">
        <v>380</v>
      </c>
      <c r="X117" s="581"/>
      <c r="Y117" s="582"/>
      <c r="Z117" s="582"/>
      <c r="AA117" s="582"/>
      <c r="AB117" s="582"/>
      <c r="AC117" s="582"/>
      <c r="AD117" s="582"/>
      <c r="AE117" s="582"/>
      <c r="AF117" s="582"/>
      <c r="AG117" s="582"/>
      <c r="AH117" s="582"/>
      <c r="AI117" s="582"/>
      <c r="AJ117" s="582"/>
      <c r="AK117" s="582"/>
      <c r="AL117" s="582"/>
      <c r="AM117" s="582"/>
      <c r="AN117" s="582"/>
      <c r="AO117" s="582"/>
      <c r="AP117" s="582"/>
      <c r="AQ117" s="582"/>
      <c r="AR117" s="582"/>
      <c r="AS117" s="582"/>
      <c r="AT117" s="582"/>
      <c r="AU117" s="582"/>
      <c r="AV117" s="582"/>
      <c r="AW117" s="582"/>
      <c r="AX117" s="582"/>
      <c r="AY117" s="582"/>
      <c r="AZ117" s="582"/>
      <c r="BA117" s="582"/>
      <c r="BB117" s="582"/>
    </row>
    <row r="118" spans="1:54" s="583" customFormat="1" ht="13.9" customHeight="1" x14ac:dyDescent="0.3">
      <c r="B118" s="587"/>
      <c r="C118" s="587"/>
      <c r="D118" s="584"/>
      <c r="E118" s="585"/>
      <c r="F118" s="585"/>
      <c r="G118" s="585"/>
      <c r="H118" s="585"/>
      <c r="I118" s="585"/>
      <c r="J118" s="585"/>
      <c r="K118" s="585"/>
      <c r="L118" s="585"/>
      <c r="M118" s="585"/>
      <c r="N118" s="585"/>
      <c r="O118" s="585"/>
      <c r="P118" s="585"/>
      <c r="Q118" s="585"/>
      <c r="R118" s="585"/>
      <c r="S118" s="586"/>
      <c r="T118" s="581"/>
      <c r="U118" s="581"/>
      <c r="V118" s="581"/>
      <c r="W118" s="589"/>
      <c r="X118" s="589"/>
      <c r="Y118" s="582"/>
      <c r="Z118" s="582"/>
      <c r="AA118" s="582"/>
      <c r="AB118" s="582"/>
      <c r="AC118" s="582"/>
      <c r="AD118" s="582"/>
      <c r="AE118" s="582"/>
      <c r="AF118" s="582"/>
      <c r="AG118" s="582"/>
      <c r="AH118" s="582"/>
      <c r="AI118" s="582"/>
      <c r="AJ118" s="582"/>
      <c r="AK118" s="582"/>
      <c r="AL118" s="582"/>
      <c r="AM118" s="582"/>
      <c r="AN118" s="582"/>
      <c r="AO118" s="582"/>
      <c r="AP118" s="582"/>
      <c r="AQ118" s="582"/>
      <c r="AR118" s="582"/>
      <c r="AS118" s="582"/>
      <c r="AT118" s="582"/>
      <c r="AU118" s="582"/>
      <c r="AV118" s="582"/>
      <c r="AW118" s="582"/>
      <c r="AX118" s="582"/>
      <c r="AY118" s="582"/>
      <c r="AZ118" s="582"/>
      <c r="BA118" s="582"/>
      <c r="BB118" s="582"/>
    </row>
    <row r="119" spans="1:54" s="583" customFormat="1" ht="13.9" customHeight="1" x14ac:dyDescent="0.3">
      <c r="A119" s="576"/>
      <c r="B119" s="576"/>
      <c r="C119" s="587"/>
      <c r="D119" s="584"/>
      <c r="E119" s="585"/>
      <c r="F119" s="585"/>
      <c r="G119" s="585"/>
      <c r="H119" s="585"/>
      <c r="I119" s="585"/>
      <c r="J119" s="585"/>
      <c r="K119" s="585"/>
      <c r="L119" s="585"/>
      <c r="M119" s="585"/>
      <c r="N119" s="585"/>
      <c r="O119" s="585"/>
      <c r="P119" s="585"/>
      <c r="Q119" s="585"/>
      <c r="R119" s="585"/>
      <c r="S119" s="586"/>
      <c r="T119" s="581"/>
      <c r="U119" s="581"/>
      <c r="V119" s="581"/>
      <c r="W119" s="589" t="s">
        <v>281</v>
      </c>
      <c r="X119" s="605">
        <f>I65</f>
        <v>326.64999999999998</v>
      </c>
      <c r="Y119" s="582"/>
      <c r="Z119" s="582"/>
      <c r="AA119" s="582"/>
      <c r="AB119" s="582"/>
      <c r="AC119" s="582"/>
      <c r="AD119" s="582"/>
      <c r="AE119" s="582"/>
      <c r="AF119" s="582"/>
      <c r="AG119" s="582"/>
      <c r="AH119" s="582"/>
      <c r="AI119" s="582"/>
      <c r="AJ119" s="582"/>
      <c r="AK119" s="582"/>
      <c r="AL119" s="582"/>
      <c r="AM119" s="582"/>
      <c r="AN119" s="582"/>
      <c r="AO119" s="582"/>
      <c r="AP119" s="582"/>
      <c r="AQ119" s="582"/>
      <c r="AR119" s="582"/>
      <c r="AS119" s="582"/>
      <c r="AT119" s="582"/>
      <c r="AU119" s="582"/>
      <c r="AV119" s="582"/>
      <c r="AW119" s="582"/>
      <c r="AX119" s="582"/>
      <c r="AY119" s="582"/>
      <c r="AZ119" s="582"/>
      <c r="BA119" s="582"/>
      <c r="BB119" s="582"/>
    </row>
    <row r="120" spans="1:54" s="583" customFormat="1" ht="13.9" customHeight="1" x14ac:dyDescent="0.3">
      <c r="B120" s="587"/>
      <c r="C120" s="587"/>
      <c r="D120" s="584"/>
      <c r="E120" s="585"/>
      <c r="F120" s="585"/>
      <c r="G120" s="585"/>
      <c r="H120" s="585"/>
      <c r="I120" s="585"/>
      <c r="J120" s="585"/>
      <c r="K120" s="585"/>
      <c r="L120" s="585"/>
      <c r="M120" s="585"/>
      <c r="N120" s="585"/>
      <c r="O120" s="585"/>
      <c r="P120" s="585"/>
      <c r="Q120" s="585"/>
      <c r="R120" s="585"/>
      <c r="S120" s="586"/>
      <c r="T120" s="581"/>
      <c r="U120" s="581"/>
      <c r="V120" s="581"/>
      <c r="W120" s="589" t="s">
        <v>282</v>
      </c>
      <c r="X120" s="605">
        <f t="shared" ref="X120:X121" si="15">I66</f>
        <v>231.65</v>
      </c>
      <c r="Y120" s="582"/>
      <c r="Z120" s="582"/>
      <c r="AA120" s="582"/>
      <c r="AB120" s="582"/>
      <c r="AC120" s="582"/>
      <c r="AD120" s="582"/>
      <c r="AE120" s="582"/>
      <c r="AF120" s="582"/>
      <c r="AG120" s="582"/>
      <c r="AH120" s="582"/>
      <c r="AI120" s="582"/>
      <c r="AJ120" s="582"/>
      <c r="AK120" s="582"/>
      <c r="AL120" s="582"/>
      <c r="AM120" s="582"/>
      <c r="AN120" s="582"/>
      <c r="AO120" s="582"/>
      <c r="AP120" s="582"/>
      <c r="AQ120" s="582"/>
      <c r="AR120" s="582"/>
      <c r="AS120" s="582"/>
      <c r="AT120" s="582"/>
      <c r="AU120" s="582"/>
      <c r="AV120" s="582"/>
      <c r="AW120" s="582"/>
      <c r="AX120" s="582"/>
      <c r="AY120" s="582"/>
      <c r="AZ120" s="582"/>
      <c r="BA120" s="582"/>
      <c r="BB120" s="582"/>
    </row>
    <row r="121" spans="1:54" s="583" customFormat="1" ht="13.9" customHeight="1" x14ac:dyDescent="0.3">
      <c r="B121" s="587"/>
      <c r="C121" s="587"/>
      <c r="D121" s="584"/>
      <c r="E121" s="585"/>
      <c r="F121" s="585"/>
      <c r="G121" s="585"/>
      <c r="H121" s="585"/>
      <c r="I121" s="585"/>
      <c r="J121" s="585"/>
      <c r="K121" s="585"/>
      <c r="L121" s="585"/>
      <c r="M121" s="585"/>
      <c r="N121" s="585"/>
      <c r="O121" s="585"/>
      <c r="P121" s="585"/>
      <c r="Q121" s="585"/>
      <c r="R121" s="585"/>
      <c r="S121" s="586"/>
      <c r="T121" s="581"/>
      <c r="U121" s="581"/>
      <c r="V121" s="581"/>
      <c r="W121" s="589" t="s">
        <v>283</v>
      </c>
      <c r="X121" s="605">
        <f t="shared" si="15"/>
        <v>49.224000000000004</v>
      </c>
      <c r="Y121" s="582"/>
      <c r="Z121" s="582"/>
      <c r="AA121" s="582"/>
      <c r="AB121" s="582"/>
      <c r="AC121" s="582"/>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2"/>
      <c r="AY121" s="582"/>
      <c r="AZ121" s="582"/>
      <c r="BA121" s="582"/>
      <c r="BB121" s="582"/>
    </row>
    <row r="122" spans="1:54" s="583" customFormat="1" ht="13.9" customHeight="1" x14ac:dyDescent="0.3">
      <c r="B122" s="587"/>
      <c r="C122" s="587"/>
      <c r="D122" s="584"/>
      <c r="E122" s="585"/>
      <c r="F122" s="585"/>
      <c r="G122" s="585"/>
      <c r="H122" s="585"/>
      <c r="I122" s="585"/>
      <c r="J122" s="585"/>
      <c r="K122" s="585"/>
      <c r="L122" s="585"/>
      <c r="M122" s="585"/>
      <c r="N122" s="585"/>
      <c r="O122" s="585"/>
      <c r="P122" s="585"/>
      <c r="Q122" s="585"/>
      <c r="R122" s="585"/>
      <c r="S122" s="586"/>
      <c r="T122" s="581"/>
      <c r="U122" s="581"/>
      <c r="V122" s="581"/>
      <c r="W122" s="589" t="s">
        <v>108</v>
      </c>
      <c r="X122" s="605">
        <f>I64</f>
        <v>618.79899999999998</v>
      </c>
      <c r="Y122" s="582"/>
      <c r="Z122" s="582"/>
      <c r="AA122" s="582"/>
      <c r="AB122" s="582"/>
      <c r="AC122" s="582"/>
      <c r="AD122" s="582"/>
      <c r="AE122" s="582"/>
      <c r="AF122" s="582"/>
      <c r="AG122" s="582"/>
      <c r="AH122" s="582"/>
      <c r="AI122" s="582"/>
      <c r="AJ122" s="582"/>
      <c r="AK122" s="582"/>
      <c r="AL122" s="582"/>
      <c r="AM122" s="582"/>
      <c r="AN122" s="582"/>
      <c r="AO122" s="582"/>
      <c r="AP122" s="582"/>
      <c r="AQ122" s="582"/>
      <c r="AR122" s="582"/>
      <c r="AS122" s="582"/>
      <c r="AT122" s="582"/>
      <c r="AU122" s="582"/>
      <c r="AV122" s="582"/>
      <c r="AW122" s="582"/>
      <c r="AX122" s="582"/>
      <c r="AY122" s="582"/>
      <c r="AZ122" s="582"/>
      <c r="BA122" s="582"/>
      <c r="BB122" s="582"/>
    </row>
    <row r="123" spans="1:54" s="583" customFormat="1" ht="13.9" customHeight="1" x14ac:dyDescent="0.3">
      <c r="B123" s="587"/>
      <c r="C123" s="576"/>
      <c r="D123" s="584"/>
      <c r="E123" s="585"/>
      <c r="F123" s="585"/>
      <c r="G123" s="585"/>
      <c r="H123" s="585"/>
      <c r="I123" s="585"/>
      <c r="J123" s="585"/>
      <c r="K123" s="585"/>
      <c r="L123" s="585"/>
      <c r="M123" s="585"/>
      <c r="N123" s="585"/>
      <c r="O123" s="585"/>
      <c r="P123" s="585"/>
      <c r="Q123" s="585"/>
      <c r="R123" s="585"/>
      <c r="S123" s="586"/>
      <c r="T123" s="581"/>
      <c r="U123" s="581"/>
      <c r="V123" s="581"/>
      <c r="W123" s="581"/>
      <c r="X123" s="581"/>
      <c r="Y123" s="582"/>
      <c r="Z123" s="582"/>
      <c r="AA123" s="582"/>
      <c r="AB123" s="582"/>
      <c r="AC123" s="582"/>
      <c r="AD123" s="582"/>
      <c r="AE123" s="582"/>
      <c r="AF123" s="582"/>
      <c r="AG123" s="582"/>
      <c r="AH123" s="582"/>
      <c r="AI123" s="582"/>
      <c r="AJ123" s="582"/>
      <c r="AK123" s="582"/>
      <c r="AL123" s="582"/>
      <c r="AM123" s="582"/>
      <c r="AN123" s="582"/>
      <c r="AO123" s="582"/>
      <c r="AP123" s="582"/>
      <c r="AQ123" s="582"/>
      <c r="AR123" s="582"/>
      <c r="AS123" s="582"/>
      <c r="AT123" s="582"/>
      <c r="AU123" s="582"/>
      <c r="AV123" s="582"/>
      <c r="AW123" s="582"/>
      <c r="AX123" s="582"/>
      <c r="AY123" s="582"/>
      <c r="AZ123" s="582"/>
      <c r="BA123" s="582"/>
      <c r="BB123" s="582"/>
    </row>
    <row r="124" spans="1:54" s="583" customFormat="1" ht="13.9" customHeight="1" x14ac:dyDescent="0.3">
      <c r="B124" s="587"/>
      <c r="C124" s="587"/>
      <c r="D124" s="584"/>
      <c r="E124" s="585"/>
      <c r="F124" s="585"/>
      <c r="G124" s="585"/>
      <c r="H124" s="585"/>
      <c r="I124" s="585"/>
      <c r="J124" s="585"/>
      <c r="K124" s="585"/>
      <c r="L124" s="585"/>
      <c r="M124" s="585"/>
      <c r="N124" s="585"/>
      <c r="O124" s="585"/>
      <c r="P124" s="585"/>
      <c r="Q124" s="585"/>
      <c r="R124" s="585"/>
      <c r="S124" s="586"/>
      <c r="T124" s="581"/>
      <c r="U124" s="581"/>
      <c r="V124" s="581"/>
      <c r="W124" s="581"/>
      <c r="X124" s="581"/>
      <c r="Y124" s="582"/>
      <c r="Z124" s="582"/>
      <c r="AA124" s="582"/>
      <c r="AB124" s="582"/>
      <c r="AC124" s="582"/>
      <c r="AD124" s="582"/>
      <c r="AE124" s="582"/>
      <c r="AF124" s="582"/>
      <c r="AG124" s="582"/>
      <c r="AH124" s="582"/>
      <c r="AI124" s="582"/>
      <c r="AJ124" s="582"/>
      <c r="AK124" s="582"/>
      <c r="AL124" s="582"/>
      <c r="AM124" s="582"/>
      <c r="AN124" s="582"/>
      <c r="AO124" s="582"/>
      <c r="AP124" s="582"/>
      <c r="AQ124" s="582"/>
      <c r="AR124" s="582"/>
      <c r="AS124" s="582"/>
      <c r="AT124" s="582"/>
      <c r="AU124" s="582"/>
      <c r="AV124" s="582"/>
      <c r="AW124" s="582"/>
      <c r="AX124" s="582"/>
      <c r="AY124" s="582"/>
      <c r="AZ124" s="582"/>
      <c r="BA124" s="582"/>
      <c r="BB124" s="582"/>
    </row>
    <row r="125" spans="1:54" s="583" customFormat="1" ht="13.9" customHeight="1" x14ac:dyDescent="0.3">
      <c r="B125" s="587"/>
      <c r="C125" s="587"/>
      <c r="D125" s="584"/>
      <c r="E125" s="585"/>
      <c r="F125" s="585"/>
      <c r="G125" s="585"/>
      <c r="H125" s="585"/>
      <c r="I125" s="585"/>
      <c r="J125" s="585"/>
      <c r="K125" s="585"/>
      <c r="L125" s="585"/>
      <c r="M125" s="585"/>
      <c r="N125" s="585"/>
      <c r="O125" s="585"/>
      <c r="P125" s="585"/>
      <c r="Q125" s="585"/>
      <c r="R125" s="585"/>
      <c r="S125" s="586"/>
      <c r="T125" s="581"/>
      <c r="U125" s="581"/>
      <c r="V125" s="581"/>
      <c r="W125" s="581"/>
      <c r="X125" s="581"/>
      <c r="Y125" s="582"/>
      <c r="Z125" s="582"/>
      <c r="AA125" s="582"/>
      <c r="AB125" s="582"/>
      <c r="AC125" s="582"/>
      <c r="AD125" s="582"/>
      <c r="AE125" s="582"/>
      <c r="AF125" s="582"/>
      <c r="AG125" s="582"/>
      <c r="AH125" s="582"/>
      <c r="AI125" s="582"/>
      <c r="AJ125" s="582"/>
      <c r="AK125" s="582"/>
      <c r="AL125" s="582"/>
      <c r="AM125" s="582"/>
      <c r="AN125" s="582"/>
      <c r="AO125" s="582"/>
      <c r="AP125" s="582"/>
      <c r="AQ125" s="582"/>
      <c r="AR125" s="582"/>
      <c r="AS125" s="582"/>
      <c r="AT125" s="582"/>
      <c r="AU125" s="582"/>
      <c r="AV125" s="582"/>
      <c r="AW125" s="582"/>
      <c r="AX125" s="582"/>
      <c r="AY125" s="582"/>
      <c r="AZ125" s="582"/>
      <c r="BA125" s="582"/>
      <c r="BB125" s="582"/>
    </row>
    <row r="126" spans="1:54" s="583" customFormat="1" ht="13.9" customHeight="1" x14ac:dyDescent="0.3">
      <c r="B126" s="587"/>
      <c r="C126" s="587"/>
      <c r="D126" s="584"/>
      <c r="E126" s="585"/>
      <c r="F126" s="585"/>
      <c r="G126" s="585"/>
      <c r="H126" s="585"/>
      <c r="I126" s="585"/>
      <c r="J126" s="585"/>
      <c r="K126" s="585"/>
      <c r="L126" s="585"/>
      <c r="M126" s="585"/>
      <c r="N126" s="585"/>
      <c r="O126" s="585"/>
      <c r="P126" s="585"/>
      <c r="Q126" s="585"/>
      <c r="R126" s="585"/>
      <c r="S126" s="586"/>
      <c r="T126" s="581"/>
      <c r="U126" s="581"/>
      <c r="V126" s="581"/>
      <c r="W126" s="581"/>
      <c r="X126" s="581"/>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2"/>
      <c r="AY126" s="582"/>
      <c r="AZ126" s="582"/>
      <c r="BA126" s="582"/>
      <c r="BB126" s="582"/>
    </row>
    <row r="127" spans="1:54" s="583" customFormat="1" ht="13.9" customHeight="1" x14ac:dyDescent="0.3">
      <c r="B127" s="587"/>
      <c r="C127" s="587"/>
      <c r="D127" s="584"/>
      <c r="E127" s="585"/>
      <c r="F127" s="585"/>
      <c r="G127" s="585"/>
      <c r="H127" s="585"/>
      <c r="I127" s="585"/>
      <c r="J127" s="585"/>
      <c r="K127" s="585"/>
      <c r="L127" s="585"/>
      <c r="M127" s="585"/>
      <c r="N127" s="585"/>
      <c r="O127" s="585"/>
      <c r="P127" s="585"/>
      <c r="Q127" s="585"/>
      <c r="R127" s="585"/>
      <c r="S127" s="586"/>
      <c r="T127" s="581"/>
      <c r="U127" s="581"/>
      <c r="V127" s="581"/>
      <c r="W127" s="581"/>
      <c r="X127" s="581"/>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2"/>
      <c r="AY127" s="582"/>
      <c r="AZ127" s="582"/>
      <c r="BA127" s="582"/>
      <c r="BB127" s="582"/>
    </row>
    <row r="128" spans="1:54" s="583" customFormat="1" ht="13.9" customHeight="1" x14ac:dyDescent="0.3">
      <c r="B128" s="587"/>
      <c r="C128" s="587"/>
      <c r="D128" s="584"/>
      <c r="E128" s="585"/>
      <c r="F128" s="585"/>
      <c r="G128" s="585"/>
      <c r="H128" s="585"/>
      <c r="I128" s="585"/>
      <c r="J128" s="585"/>
      <c r="K128" s="585"/>
      <c r="L128" s="585"/>
      <c r="M128" s="585"/>
      <c r="N128" s="585"/>
      <c r="O128" s="585"/>
      <c r="P128" s="585"/>
      <c r="Q128" s="585"/>
      <c r="R128" s="585"/>
      <c r="S128" s="586"/>
      <c r="T128" s="581"/>
      <c r="U128" s="581"/>
      <c r="V128" s="581"/>
      <c r="W128" s="581"/>
      <c r="X128" s="581"/>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2"/>
      <c r="AY128" s="582"/>
      <c r="AZ128" s="582"/>
      <c r="BA128" s="582"/>
      <c r="BB128" s="582"/>
    </row>
    <row r="129" spans="2:56" s="583" customFormat="1" ht="13.9" customHeight="1" x14ac:dyDescent="0.3">
      <c r="B129" s="587"/>
      <c r="C129" s="587"/>
      <c r="D129" s="584"/>
      <c r="E129" s="585"/>
      <c r="F129" s="585"/>
      <c r="G129" s="585"/>
      <c r="H129" s="585"/>
      <c r="I129" s="585"/>
      <c r="J129" s="585"/>
      <c r="K129" s="585"/>
      <c r="L129" s="585"/>
      <c r="M129" s="585"/>
      <c r="N129" s="585"/>
      <c r="O129" s="585"/>
      <c r="P129" s="585"/>
      <c r="Q129" s="585"/>
      <c r="R129" s="585"/>
      <c r="S129" s="586"/>
      <c r="T129" s="581"/>
      <c r="U129" s="581"/>
      <c r="V129" s="581"/>
      <c r="W129" s="581"/>
      <c r="X129" s="581"/>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2"/>
      <c r="AY129" s="582"/>
      <c r="AZ129" s="582"/>
      <c r="BA129" s="582"/>
      <c r="BB129" s="582"/>
    </row>
    <row r="130" spans="2:56" s="583" customFormat="1" ht="13.9" customHeight="1" x14ac:dyDescent="0.3">
      <c r="B130" s="587"/>
      <c r="C130" s="587"/>
      <c r="D130" s="584"/>
      <c r="E130" s="585"/>
      <c r="F130" s="585"/>
      <c r="G130" s="585"/>
      <c r="H130" s="585"/>
      <c r="I130" s="585"/>
      <c r="J130" s="585"/>
      <c r="K130" s="585"/>
      <c r="L130" s="585"/>
      <c r="M130" s="585"/>
      <c r="N130" s="585"/>
      <c r="O130" s="585"/>
      <c r="P130" s="585"/>
      <c r="Q130" s="585"/>
      <c r="R130" s="585"/>
      <c r="S130" s="586"/>
      <c r="T130" s="581"/>
      <c r="U130" s="581"/>
      <c r="V130" s="581"/>
      <c r="W130" s="581"/>
      <c r="X130" s="581"/>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2"/>
      <c r="AY130" s="582"/>
      <c r="AZ130" s="582"/>
      <c r="BA130" s="582"/>
      <c r="BB130" s="582"/>
    </row>
    <row r="131" spans="2:56" s="583" customFormat="1" ht="13.9" customHeight="1" x14ac:dyDescent="0.3">
      <c r="B131" s="587"/>
      <c r="C131" s="587"/>
      <c r="D131" s="584"/>
      <c r="E131" s="585"/>
      <c r="F131" s="585"/>
      <c r="G131" s="585"/>
      <c r="H131" s="585"/>
      <c r="I131" s="585"/>
      <c r="J131" s="585"/>
      <c r="K131" s="585"/>
      <c r="L131" s="585"/>
      <c r="M131" s="585"/>
      <c r="N131" s="585"/>
      <c r="O131" s="585"/>
      <c r="P131" s="585"/>
      <c r="Q131" s="585"/>
      <c r="R131" s="585"/>
      <c r="S131" s="586"/>
      <c r="T131" s="581"/>
      <c r="U131" s="581"/>
      <c r="V131" s="581"/>
      <c r="W131" s="581"/>
      <c r="X131" s="581"/>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row>
    <row r="132" spans="2:56" s="583" customFormat="1" ht="13.9" customHeight="1" x14ac:dyDescent="0.3">
      <c r="B132" s="587"/>
      <c r="C132" s="587"/>
      <c r="D132" s="584"/>
      <c r="E132" s="585"/>
      <c r="F132" s="585"/>
      <c r="G132" s="585"/>
      <c r="H132" s="585"/>
      <c r="I132" s="585"/>
      <c r="J132" s="585"/>
      <c r="K132" s="585"/>
      <c r="L132" s="585"/>
      <c r="M132" s="585"/>
      <c r="N132" s="585"/>
      <c r="O132" s="585"/>
      <c r="P132" s="585"/>
      <c r="Q132" s="585"/>
      <c r="R132" s="585"/>
      <c r="S132" s="586"/>
      <c r="T132" s="581"/>
      <c r="U132" s="581"/>
      <c r="V132" s="581"/>
      <c r="W132" s="581"/>
      <c r="X132" s="581"/>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2"/>
      <c r="AY132" s="582"/>
      <c r="AZ132" s="582"/>
      <c r="BA132" s="582"/>
      <c r="BB132" s="582"/>
    </row>
    <row r="133" spans="2:56" s="583" customFormat="1" ht="13.9" customHeight="1" x14ac:dyDescent="0.3">
      <c r="B133" s="587"/>
      <c r="C133" s="587"/>
      <c r="D133" s="598"/>
      <c r="E133" s="599"/>
      <c r="F133" s="599"/>
      <c r="G133" s="599"/>
      <c r="H133" s="599"/>
      <c r="I133" s="599"/>
      <c r="J133" s="599"/>
      <c r="K133" s="599"/>
      <c r="L133" s="599"/>
      <c r="M133" s="599"/>
      <c r="N133" s="599"/>
      <c r="O133" s="599"/>
      <c r="P133" s="599"/>
      <c r="Q133" s="599"/>
      <c r="R133" s="599"/>
      <c r="S133" s="600"/>
      <c r="T133" s="581"/>
      <c r="U133" s="581"/>
      <c r="V133" s="581"/>
      <c r="W133" s="581"/>
      <c r="X133" s="581"/>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2"/>
      <c r="AY133" s="582"/>
      <c r="AZ133" s="582"/>
      <c r="BA133" s="582"/>
      <c r="BB133" s="582"/>
    </row>
    <row r="134" spans="2:56" s="583" customFormat="1" x14ac:dyDescent="0.3">
      <c r="B134" s="587"/>
      <c r="C134" s="587"/>
      <c r="D134" s="587"/>
      <c r="E134" s="587"/>
      <c r="F134" s="587"/>
      <c r="G134" s="587"/>
      <c r="H134" s="587"/>
      <c r="I134" s="587"/>
      <c r="J134" s="587"/>
      <c r="K134" s="587"/>
      <c r="L134" s="587"/>
      <c r="M134" s="587"/>
      <c r="N134" s="587"/>
      <c r="O134" s="587"/>
      <c r="P134" s="587"/>
      <c r="Q134" s="587"/>
      <c r="R134" s="587"/>
      <c r="S134" s="581"/>
      <c r="T134" s="581"/>
      <c r="U134" s="581"/>
      <c r="V134" s="581"/>
      <c r="W134" s="581"/>
      <c r="X134" s="581"/>
      <c r="Y134" s="581"/>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2"/>
      <c r="AY134" s="582"/>
      <c r="AZ134" s="582"/>
      <c r="BA134" s="582"/>
      <c r="BB134" s="582"/>
      <c r="BC134" s="582"/>
    </row>
    <row r="135" spans="2:56" s="583" customFormat="1" x14ac:dyDescent="0.3">
      <c r="B135" s="587"/>
      <c r="C135" s="587"/>
      <c r="D135" s="587"/>
      <c r="E135" s="587"/>
      <c r="F135" s="587"/>
      <c r="G135" s="587"/>
      <c r="H135" s="587"/>
      <c r="I135" s="587"/>
      <c r="J135" s="587"/>
      <c r="K135" s="587"/>
      <c r="L135" s="587"/>
      <c r="M135" s="587"/>
      <c r="N135" s="587"/>
      <c r="O135" s="587"/>
      <c r="P135" s="587"/>
      <c r="Q135" s="587"/>
      <c r="R135" s="587"/>
      <c r="S135" s="581"/>
      <c r="T135" s="581"/>
      <c r="U135" s="581"/>
      <c r="V135" s="581"/>
      <c r="W135" s="581"/>
      <c r="X135" s="581"/>
      <c r="Y135" s="581"/>
      <c r="Z135" s="582"/>
      <c r="AA135" s="582"/>
      <c r="AB135" s="582"/>
      <c r="AC135" s="582"/>
      <c r="AD135" s="582"/>
      <c r="AE135" s="582"/>
      <c r="AF135" s="582"/>
      <c r="AG135" s="582"/>
      <c r="AH135" s="582"/>
      <c r="AI135" s="582"/>
      <c r="AJ135" s="582"/>
      <c r="AK135" s="582"/>
      <c r="AL135" s="582"/>
      <c r="AM135" s="582"/>
      <c r="AN135" s="582"/>
      <c r="AO135" s="582"/>
      <c r="AP135" s="582"/>
      <c r="AQ135" s="582"/>
      <c r="AR135" s="582"/>
      <c r="AS135" s="582"/>
      <c r="AT135" s="582"/>
      <c r="AU135" s="582"/>
      <c r="AV135" s="582"/>
      <c r="AW135" s="582"/>
      <c r="AX135" s="582"/>
      <c r="AY135" s="582"/>
      <c r="AZ135" s="582"/>
      <c r="BA135" s="582"/>
      <c r="BB135" s="582"/>
      <c r="BC135" s="582"/>
    </row>
    <row r="136" spans="2:56" s="583" customFormat="1" ht="18" x14ac:dyDescent="0.4">
      <c r="B136" s="587"/>
      <c r="C136" s="587"/>
      <c r="D136" s="606"/>
      <c r="E136" s="607" t="s">
        <v>336</v>
      </c>
      <c r="F136" s="607"/>
      <c r="G136" s="608"/>
      <c r="H136" s="608"/>
      <c r="I136" s="608"/>
      <c r="J136" s="608"/>
      <c r="K136" s="608"/>
      <c r="L136" s="608"/>
      <c r="M136" s="608"/>
      <c r="N136" s="608"/>
      <c r="O136" s="608"/>
      <c r="P136" s="609"/>
      <c r="Q136" s="576"/>
      <c r="R136" s="576"/>
      <c r="S136" s="587"/>
      <c r="T136" s="581"/>
      <c r="U136" s="581"/>
      <c r="V136" s="581"/>
      <c r="W136" s="581"/>
      <c r="X136" s="581"/>
      <c r="Y136" s="581"/>
      <c r="Z136" s="581"/>
      <c r="AA136" s="582"/>
      <c r="AB136" s="582"/>
      <c r="AC136" s="582"/>
      <c r="AD136" s="582"/>
      <c r="AE136" s="582"/>
      <c r="AF136" s="582"/>
      <c r="AG136" s="582"/>
      <c r="AH136" s="582"/>
      <c r="AI136" s="582"/>
      <c r="AJ136" s="582"/>
      <c r="AK136" s="582"/>
      <c r="AL136" s="582"/>
      <c r="AM136" s="582"/>
      <c r="AN136" s="582"/>
      <c r="AO136" s="582"/>
      <c r="AP136" s="582"/>
      <c r="AQ136" s="582"/>
      <c r="AR136" s="582"/>
      <c r="AS136" s="582"/>
      <c r="AT136" s="582"/>
      <c r="AU136" s="582"/>
      <c r="AV136" s="582"/>
      <c r="AW136" s="582"/>
      <c r="AX136" s="582"/>
      <c r="AY136" s="582"/>
      <c r="AZ136" s="582"/>
      <c r="BA136" s="582"/>
      <c r="BB136" s="582"/>
      <c r="BC136" s="582"/>
      <c r="BD136" s="582"/>
    </row>
    <row r="137" spans="2:56" s="583" customFormat="1" x14ac:dyDescent="0.3">
      <c r="B137" s="587"/>
      <c r="C137" s="587"/>
      <c r="D137" s="610"/>
      <c r="E137" s="611"/>
      <c r="F137" s="611"/>
      <c r="G137" s="611"/>
      <c r="H137" s="611"/>
      <c r="I137" s="611"/>
      <c r="J137" s="611"/>
      <c r="K137" s="611"/>
      <c r="L137" s="611"/>
      <c r="M137" s="611"/>
      <c r="N137" s="611"/>
      <c r="O137" s="611"/>
      <c r="P137" s="612"/>
      <c r="Q137" s="576"/>
      <c r="R137" s="576"/>
      <c r="S137" s="587"/>
      <c r="U137" s="581"/>
      <c r="V137" s="581"/>
      <c r="W137" s="589"/>
      <c r="X137" s="589" t="s">
        <v>322</v>
      </c>
      <c r="Y137" s="589" t="s">
        <v>323</v>
      </c>
      <c r="Z137" s="589"/>
      <c r="AA137" s="589" t="s">
        <v>324</v>
      </c>
      <c r="AB137" s="589" t="s">
        <v>325</v>
      </c>
      <c r="AC137" s="589"/>
      <c r="AD137" s="589" t="s">
        <v>324</v>
      </c>
      <c r="AE137" s="589" t="s">
        <v>325</v>
      </c>
      <c r="AF137" s="576"/>
      <c r="AG137" s="589" t="s">
        <v>324</v>
      </c>
      <c r="AH137" s="589" t="s">
        <v>325</v>
      </c>
      <c r="AI137" s="582"/>
      <c r="AJ137" s="582"/>
      <c r="AK137" s="582"/>
      <c r="AL137" s="582"/>
      <c r="AM137" s="582"/>
      <c r="AN137" s="582"/>
      <c r="AO137" s="582"/>
      <c r="AP137" s="582"/>
      <c r="AQ137" s="582"/>
      <c r="AR137" s="582"/>
      <c r="AS137" s="582"/>
      <c r="AT137" s="582"/>
      <c r="AU137" s="582"/>
      <c r="AV137" s="582"/>
      <c r="AW137" s="582"/>
      <c r="AX137" s="582"/>
      <c r="AY137" s="582"/>
      <c r="AZ137" s="582"/>
      <c r="BA137" s="582"/>
      <c r="BB137" s="582"/>
      <c r="BC137" s="582"/>
      <c r="BD137" s="582"/>
    </row>
    <row r="138" spans="2:56" s="583" customFormat="1" x14ac:dyDescent="0.3">
      <c r="B138" s="587"/>
      <c r="C138" s="587"/>
      <c r="D138" s="613"/>
      <c r="E138" s="614"/>
      <c r="F138" s="614"/>
      <c r="G138" s="614"/>
      <c r="H138" s="614"/>
      <c r="I138" s="614"/>
      <c r="J138" s="614"/>
      <c r="K138" s="614"/>
      <c r="L138" s="614"/>
      <c r="M138" s="614"/>
      <c r="N138" s="614"/>
      <c r="O138" s="614"/>
      <c r="P138" s="586"/>
      <c r="Q138" s="576"/>
      <c r="R138" s="576"/>
      <c r="S138" s="587"/>
      <c r="U138" s="581"/>
      <c r="V138" s="581"/>
      <c r="W138" s="589" t="s">
        <v>281</v>
      </c>
      <c r="X138" s="603">
        <f>K65-L65</f>
        <v>110555</v>
      </c>
      <c r="Y138" s="603">
        <f>L65</f>
        <v>1245</v>
      </c>
      <c r="Z138" s="589"/>
      <c r="AA138" s="615">
        <f ca="1">M65</f>
        <v>1.1489324531169447</v>
      </c>
      <c r="AB138" s="615">
        <f ca="1">P65</f>
        <v>1.1361379906470823</v>
      </c>
      <c r="AC138" s="589"/>
      <c r="AD138" s="616">
        <f ca="1">N65</f>
        <v>1084791.9126967145</v>
      </c>
      <c r="AE138" s="616">
        <f ca="1">Q65</f>
        <v>1086036.9126967145</v>
      </c>
      <c r="AF138" s="576"/>
      <c r="AG138" s="617">
        <f ca="1">O65</f>
        <v>0.92279141629404848</v>
      </c>
      <c r="AH138" s="617">
        <f ca="1">R65</f>
        <v>0.93259496627142235</v>
      </c>
      <c r="AI138" s="582"/>
      <c r="AJ138" s="582"/>
      <c r="AK138" s="582"/>
      <c r="AL138" s="582"/>
      <c r="AM138" s="582"/>
      <c r="AN138" s="582"/>
      <c r="AO138" s="582"/>
      <c r="AP138" s="582"/>
      <c r="AQ138" s="582"/>
      <c r="AR138" s="582"/>
      <c r="AS138" s="582"/>
      <c r="AT138" s="582"/>
      <c r="AU138" s="582"/>
      <c r="AV138" s="582"/>
      <c r="AW138" s="582"/>
      <c r="AX138" s="582"/>
      <c r="AY138" s="582"/>
      <c r="AZ138" s="582"/>
      <c r="BA138" s="582"/>
      <c r="BB138" s="582"/>
      <c r="BC138" s="582"/>
      <c r="BD138" s="582"/>
    </row>
    <row r="139" spans="2:56" s="583" customFormat="1" x14ac:dyDescent="0.3">
      <c r="B139" s="587"/>
      <c r="C139" s="587"/>
      <c r="D139" s="613"/>
      <c r="E139" s="614"/>
      <c r="F139" s="614"/>
      <c r="G139" s="614"/>
      <c r="H139" s="614"/>
      <c r="I139" s="614"/>
      <c r="J139" s="614"/>
      <c r="K139" s="614"/>
      <c r="L139" s="614"/>
      <c r="M139" s="614"/>
      <c r="N139" s="614"/>
      <c r="O139" s="614"/>
      <c r="P139" s="586"/>
      <c r="Q139" s="576"/>
      <c r="R139" s="576"/>
      <c r="S139" s="587"/>
      <c r="U139" s="581"/>
      <c r="V139" s="581"/>
      <c r="W139" s="589" t="s">
        <v>282</v>
      </c>
      <c r="X139" s="603">
        <f>K66-L66</f>
        <v>127100</v>
      </c>
      <c r="Y139" s="603">
        <f>L66</f>
        <v>0</v>
      </c>
      <c r="Z139" s="589"/>
      <c r="AA139" s="615">
        <f ca="1">M66</f>
        <v>2.7508176221623706</v>
      </c>
      <c r="AB139" s="615">
        <f ca="1">P66</f>
        <v>2.7508176221623706</v>
      </c>
      <c r="AC139" s="589"/>
      <c r="AD139" s="616">
        <f ca="1">N66</f>
        <v>432532.11494507978</v>
      </c>
      <c r="AE139" s="616">
        <f ca="1">Q66</f>
        <v>432532.11494507978</v>
      </c>
      <c r="AF139" s="576"/>
      <c r="AG139" s="617">
        <f ca="1">O66</f>
        <v>0.41256409420701745</v>
      </c>
      <c r="AH139" s="617">
        <f ca="1">R66</f>
        <v>0.41256409420701745</v>
      </c>
      <c r="AI139" s="582"/>
      <c r="AJ139" s="582"/>
      <c r="AK139" s="582"/>
      <c r="AL139" s="582"/>
      <c r="AM139" s="582"/>
      <c r="AN139" s="582"/>
      <c r="AO139" s="582"/>
      <c r="AP139" s="582"/>
      <c r="AQ139" s="582"/>
      <c r="AR139" s="582"/>
      <c r="AS139" s="582"/>
      <c r="AT139" s="582"/>
      <c r="AU139" s="582"/>
      <c r="AV139" s="582"/>
      <c r="AW139" s="582"/>
      <c r="AX139" s="582"/>
      <c r="AY139" s="582"/>
      <c r="AZ139" s="582"/>
      <c r="BA139" s="582"/>
      <c r="BB139" s="582"/>
      <c r="BC139" s="582"/>
      <c r="BD139" s="582"/>
    </row>
    <row r="140" spans="2:56" s="583" customFormat="1" x14ac:dyDescent="0.3">
      <c r="B140" s="587"/>
      <c r="C140" s="587"/>
      <c r="D140" s="613"/>
      <c r="E140" s="614"/>
      <c r="F140" s="614"/>
      <c r="G140" s="614"/>
      <c r="H140" s="614"/>
      <c r="I140" s="614"/>
      <c r="J140" s="614"/>
      <c r="K140" s="614"/>
      <c r="L140" s="614"/>
      <c r="M140" s="614"/>
      <c r="N140" s="614"/>
      <c r="O140" s="614"/>
      <c r="P140" s="586"/>
      <c r="Q140" s="576"/>
      <c r="R140" s="576"/>
      <c r="S140" s="587"/>
      <c r="U140" s="581"/>
      <c r="V140" s="581"/>
      <c r="W140" s="589" t="s">
        <v>283</v>
      </c>
      <c r="X140" s="603">
        <f>K67-L67</f>
        <v>296670</v>
      </c>
      <c r="Y140" s="603">
        <f>L67</f>
        <v>33330</v>
      </c>
      <c r="Z140" s="589"/>
      <c r="AA140" s="615">
        <f ca="1">M67</f>
        <v>6.5936437274467421</v>
      </c>
      <c r="AB140" s="615">
        <f ca="1">P67</f>
        <v>5.9276857109746208</v>
      </c>
      <c r="AC140" s="589"/>
      <c r="AD140" s="616">
        <f ca="1">N67</f>
        <v>272589.48499294859</v>
      </c>
      <c r="AE140" s="616">
        <f ca="1">Q67</f>
        <v>305919.48499294859</v>
      </c>
      <c r="AF140" s="576"/>
      <c r="AG140" s="617">
        <f ca="1">O67</f>
        <v>0.18826505759525025</v>
      </c>
      <c r="AH140" s="617">
        <f ca="1">R67</f>
        <v>0.20777417758699501</v>
      </c>
      <c r="AI140" s="582"/>
      <c r="AJ140" s="582"/>
      <c r="AK140" s="582"/>
      <c r="AL140" s="582"/>
      <c r="AM140" s="582"/>
      <c r="AN140" s="582"/>
      <c r="AO140" s="582"/>
      <c r="AP140" s="582"/>
      <c r="AQ140" s="582"/>
      <c r="AR140" s="582"/>
      <c r="AS140" s="582"/>
      <c r="AT140" s="582"/>
      <c r="AU140" s="582"/>
      <c r="AV140" s="582"/>
      <c r="AW140" s="582"/>
      <c r="AX140" s="582"/>
      <c r="AY140" s="582"/>
      <c r="AZ140" s="582"/>
      <c r="BA140" s="582"/>
      <c r="BB140" s="582"/>
      <c r="BC140" s="582"/>
      <c r="BD140" s="582"/>
    </row>
    <row r="141" spans="2:56" s="583" customFormat="1" x14ac:dyDescent="0.3">
      <c r="B141" s="587"/>
      <c r="C141" s="587"/>
      <c r="D141" s="618"/>
      <c r="E141" s="614"/>
      <c r="F141" s="614"/>
      <c r="G141" s="614"/>
      <c r="H141" s="614"/>
      <c r="I141" s="614"/>
      <c r="J141" s="614"/>
      <c r="K141" s="614"/>
      <c r="L141" s="614"/>
      <c r="M141" s="614"/>
      <c r="N141" s="614"/>
      <c r="O141" s="614"/>
      <c r="P141" s="586"/>
      <c r="Q141" s="576"/>
      <c r="R141" s="576"/>
      <c r="S141" s="587"/>
      <c r="U141" s="581"/>
      <c r="V141" s="581"/>
      <c r="W141" s="589" t="s">
        <v>108</v>
      </c>
      <c r="X141" s="603">
        <f>K64-L64</f>
        <v>534325</v>
      </c>
      <c r="Y141" s="603">
        <f>L64</f>
        <v>34575</v>
      </c>
      <c r="Z141" s="589"/>
      <c r="AA141" s="615">
        <f ca="1">M64</f>
        <v>2.9053784939118472</v>
      </c>
      <c r="AB141" s="615">
        <f ca="1">P64</f>
        <v>2.7288035924757388</v>
      </c>
      <c r="AC141" s="589"/>
      <c r="AD141" s="616">
        <f ca="1">N64</f>
        <v>1817152.2438931316</v>
      </c>
      <c r="AE141" s="616">
        <f ca="1">Q64</f>
        <v>1851727.2438931316</v>
      </c>
      <c r="AF141" s="576"/>
      <c r="AG141" s="617">
        <f ca="1">O64</f>
        <v>0.39387390829535707</v>
      </c>
      <c r="AH141" s="617">
        <f ca="1">R64</f>
        <v>0.41642694597061869</v>
      </c>
      <c r="AI141" s="582"/>
      <c r="AJ141" s="582"/>
      <c r="AK141" s="582"/>
      <c r="AL141" s="582"/>
      <c r="AM141" s="582"/>
      <c r="AN141" s="582"/>
      <c r="AO141" s="582"/>
      <c r="AP141" s="582"/>
      <c r="AQ141" s="582"/>
      <c r="AR141" s="582"/>
      <c r="AS141" s="582"/>
      <c r="AT141" s="582"/>
      <c r="AU141" s="582"/>
      <c r="AV141" s="582"/>
      <c r="AW141" s="582"/>
      <c r="AX141" s="582"/>
      <c r="AY141" s="582"/>
      <c r="AZ141" s="582"/>
      <c r="BA141" s="582"/>
      <c r="BB141" s="582"/>
      <c r="BC141" s="582"/>
      <c r="BD141" s="582"/>
    </row>
    <row r="142" spans="2:56" s="583" customFormat="1" x14ac:dyDescent="0.3">
      <c r="B142" s="587"/>
      <c r="C142" s="587"/>
      <c r="D142" s="613"/>
      <c r="E142" s="614"/>
      <c r="F142" s="614"/>
      <c r="G142" s="614"/>
      <c r="H142" s="614"/>
      <c r="I142" s="614"/>
      <c r="J142" s="614"/>
      <c r="K142" s="614"/>
      <c r="L142" s="614"/>
      <c r="M142" s="614"/>
      <c r="N142" s="614"/>
      <c r="O142" s="614"/>
      <c r="P142" s="586"/>
      <c r="Q142" s="576"/>
      <c r="R142" s="576"/>
      <c r="S142" s="587"/>
      <c r="U142" s="581"/>
      <c r="V142" s="581"/>
      <c r="W142" s="581"/>
      <c r="X142" s="581"/>
      <c r="Y142" s="581"/>
      <c r="Z142" s="581"/>
      <c r="AA142" s="582"/>
      <c r="AB142" s="582"/>
      <c r="AC142" s="582"/>
      <c r="AD142" s="582"/>
      <c r="AE142" s="582"/>
      <c r="AF142" s="582"/>
      <c r="AG142" s="582"/>
      <c r="AH142" s="582"/>
      <c r="AI142" s="582"/>
      <c r="AJ142" s="582"/>
      <c r="AK142" s="582"/>
      <c r="AL142" s="582"/>
      <c r="AM142" s="582"/>
      <c r="AN142" s="582"/>
      <c r="AO142" s="582"/>
      <c r="AP142" s="582"/>
      <c r="AQ142" s="582"/>
      <c r="AR142" s="582"/>
      <c r="AS142" s="582"/>
      <c r="AT142" s="582"/>
      <c r="AU142" s="582"/>
      <c r="AV142" s="582"/>
      <c r="AW142" s="582"/>
      <c r="AX142" s="582"/>
      <c r="AY142" s="582"/>
      <c r="AZ142" s="582"/>
      <c r="BA142" s="582"/>
      <c r="BB142" s="582"/>
      <c r="BC142" s="582"/>
      <c r="BD142" s="582"/>
    </row>
    <row r="143" spans="2:56" s="583" customFormat="1" x14ac:dyDescent="0.3">
      <c r="B143" s="587"/>
      <c r="C143" s="587"/>
      <c r="D143" s="613"/>
      <c r="E143" s="614"/>
      <c r="F143" s="614"/>
      <c r="G143" s="614"/>
      <c r="H143" s="614"/>
      <c r="I143" s="614"/>
      <c r="J143" s="614"/>
      <c r="K143" s="614"/>
      <c r="L143" s="614"/>
      <c r="M143" s="614"/>
      <c r="N143" s="614"/>
      <c r="O143" s="614"/>
      <c r="P143" s="586"/>
      <c r="Q143" s="576"/>
      <c r="R143" s="576"/>
      <c r="S143" s="587"/>
      <c r="U143" s="581"/>
      <c r="V143" s="581"/>
      <c r="W143" s="581"/>
      <c r="X143" s="581"/>
      <c r="Y143" s="581"/>
      <c r="Z143" s="581"/>
      <c r="AA143" s="582"/>
      <c r="AB143" s="582"/>
      <c r="AC143" s="582"/>
      <c r="AD143" s="582"/>
      <c r="AE143" s="582"/>
      <c r="AF143" s="582"/>
      <c r="AG143" s="582"/>
      <c r="AH143" s="582"/>
      <c r="AI143" s="582"/>
      <c r="AJ143" s="582"/>
      <c r="AK143" s="582"/>
      <c r="AL143" s="582"/>
      <c r="AM143" s="582"/>
      <c r="AN143" s="582"/>
      <c r="AO143" s="582"/>
      <c r="AP143" s="582"/>
      <c r="AQ143" s="582"/>
      <c r="AR143" s="582"/>
      <c r="AS143" s="582"/>
      <c r="AT143" s="582"/>
      <c r="AU143" s="582"/>
      <c r="AV143" s="582"/>
      <c r="AW143" s="582"/>
      <c r="AX143" s="582"/>
      <c r="AY143" s="582"/>
      <c r="AZ143" s="582"/>
      <c r="BA143" s="582"/>
      <c r="BB143" s="582"/>
      <c r="BC143" s="582"/>
      <c r="BD143" s="582"/>
    </row>
    <row r="144" spans="2:56" s="583" customFormat="1" x14ac:dyDescent="0.3">
      <c r="B144" s="587"/>
      <c r="C144" s="587"/>
      <c r="D144" s="613"/>
      <c r="E144" s="614"/>
      <c r="F144" s="614"/>
      <c r="G144" s="614"/>
      <c r="H144" s="614"/>
      <c r="I144" s="614"/>
      <c r="J144" s="614"/>
      <c r="K144" s="614"/>
      <c r="L144" s="614"/>
      <c r="M144" s="614"/>
      <c r="N144" s="614"/>
      <c r="O144" s="614"/>
      <c r="P144" s="586"/>
      <c r="Q144" s="576"/>
      <c r="R144" s="576"/>
      <c r="S144" s="587"/>
      <c r="U144" s="581"/>
      <c r="V144" s="581"/>
      <c r="W144" s="581"/>
      <c r="X144" s="581"/>
      <c r="Y144" s="581"/>
      <c r="Z144" s="581"/>
      <c r="AA144" s="582"/>
      <c r="AB144" s="582"/>
      <c r="AC144" s="582"/>
      <c r="AD144" s="582"/>
      <c r="AE144" s="582"/>
      <c r="AF144" s="582"/>
      <c r="AG144" s="582"/>
      <c r="AH144" s="582"/>
      <c r="AI144" s="582"/>
      <c r="AJ144" s="582"/>
      <c r="AK144" s="582"/>
      <c r="AL144" s="582"/>
      <c r="AM144" s="582"/>
      <c r="AN144" s="582"/>
      <c r="AO144" s="582"/>
      <c r="AP144" s="582"/>
      <c r="AQ144" s="582"/>
      <c r="AR144" s="582"/>
      <c r="AS144" s="582"/>
      <c r="AT144" s="582"/>
      <c r="AU144" s="582"/>
      <c r="AV144" s="582"/>
      <c r="AW144" s="582"/>
      <c r="AX144" s="582"/>
      <c r="AY144" s="582"/>
      <c r="AZ144" s="582"/>
      <c r="BA144" s="582"/>
      <c r="BB144" s="582"/>
      <c r="BC144" s="582"/>
      <c r="BD144" s="582"/>
    </row>
    <row r="145" spans="2:56" s="583" customFormat="1" x14ac:dyDescent="0.3">
      <c r="B145" s="587"/>
      <c r="C145" s="587"/>
      <c r="D145" s="613"/>
      <c r="E145" s="614"/>
      <c r="F145" s="614"/>
      <c r="G145" s="614"/>
      <c r="H145" s="614"/>
      <c r="I145" s="614"/>
      <c r="J145" s="614"/>
      <c r="K145" s="614"/>
      <c r="L145" s="614"/>
      <c r="M145" s="614"/>
      <c r="N145" s="614"/>
      <c r="O145" s="614"/>
      <c r="P145" s="586"/>
      <c r="Q145" s="576"/>
      <c r="R145" s="576"/>
      <c r="S145" s="587"/>
      <c r="U145" s="581"/>
      <c r="V145" s="581"/>
      <c r="W145" s="581"/>
      <c r="X145" s="581"/>
      <c r="Y145" s="581"/>
      <c r="Z145" s="581"/>
      <c r="AA145" s="582"/>
      <c r="AB145" s="582"/>
      <c r="AC145" s="582"/>
      <c r="AD145" s="582"/>
      <c r="AE145" s="582"/>
      <c r="AF145" s="582"/>
      <c r="AG145" s="582"/>
      <c r="AH145" s="582"/>
      <c r="AI145" s="582"/>
      <c r="AJ145" s="582"/>
      <c r="AK145" s="582"/>
      <c r="AL145" s="582"/>
      <c r="AM145" s="582"/>
      <c r="AN145" s="582"/>
      <c r="AO145" s="582"/>
      <c r="AP145" s="582"/>
      <c r="AQ145" s="582"/>
      <c r="AR145" s="582"/>
      <c r="AS145" s="582"/>
      <c r="AT145" s="582"/>
      <c r="AU145" s="582"/>
      <c r="AV145" s="582"/>
      <c r="AW145" s="582"/>
      <c r="AX145" s="582"/>
      <c r="AY145" s="582"/>
      <c r="AZ145" s="582"/>
      <c r="BA145" s="582"/>
      <c r="BB145" s="582"/>
      <c r="BC145" s="582"/>
      <c r="BD145" s="582"/>
    </row>
    <row r="146" spans="2:56" s="583" customFormat="1" x14ac:dyDescent="0.3">
      <c r="B146" s="587"/>
      <c r="C146" s="587"/>
      <c r="D146" s="618"/>
      <c r="E146" s="614"/>
      <c r="F146" s="614"/>
      <c r="G146" s="614"/>
      <c r="H146" s="614"/>
      <c r="I146" s="614"/>
      <c r="J146" s="614"/>
      <c r="K146" s="614"/>
      <c r="L146" s="614"/>
      <c r="M146" s="614"/>
      <c r="N146" s="614"/>
      <c r="O146" s="614"/>
      <c r="P146" s="586"/>
      <c r="Q146" s="576"/>
      <c r="R146" s="576"/>
      <c r="S146" s="587"/>
      <c r="U146" s="581"/>
      <c r="V146" s="581"/>
      <c r="W146" s="581"/>
      <c r="X146" s="581"/>
      <c r="Y146" s="581"/>
      <c r="Z146" s="581"/>
      <c r="AA146" s="582"/>
      <c r="AB146" s="582"/>
      <c r="AC146" s="582"/>
      <c r="AD146" s="582"/>
      <c r="AE146" s="582"/>
      <c r="AF146" s="582"/>
      <c r="AG146" s="582"/>
      <c r="AH146" s="582"/>
      <c r="AI146" s="582"/>
      <c r="AJ146" s="582"/>
      <c r="AK146" s="582"/>
      <c r="AL146" s="582"/>
      <c r="AM146" s="582"/>
      <c r="AN146" s="582"/>
      <c r="AO146" s="582"/>
      <c r="AP146" s="582"/>
      <c r="AQ146" s="582"/>
      <c r="AR146" s="582"/>
      <c r="AS146" s="582"/>
      <c r="AT146" s="582"/>
      <c r="AU146" s="582"/>
      <c r="AV146" s="582"/>
      <c r="AW146" s="582"/>
      <c r="AX146" s="582"/>
      <c r="AY146" s="582"/>
      <c r="AZ146" s="582"/>
      <c r="BA146" s="582"/>
      <c r="BB146" s="582"/>
      <c r="BC146" s="582"/>
      <c r="BD146" s="582"/>
    </row>
    <row r="147" spans="2:56" s="583" customFormat="1" x14ac:dyDescent="0.3">
      <c r="B147" s="587"/>
      <c r="C147" s="587"/>
      <c r="D147" s="613"/>
      <c r="E147" s="614"/>
      <c r="F147" s="614"/>
      <c r="G147" s="614"/>
      <c r="H147" s="614"/>
      <c r="I147" s="614"/>
      <c r="J147" s="614"/>
      <c r="K147" s="614"/>
      <c r="L147" s="614"/>
      <c r="M147" s="614"/>
      <c r="N147" s="614"/>
      <c r="O147" s="614"/>
      <c r="P147" s="586"/>
      <c r="Q147" s="576"/>
      <c r="R147" s="576"/>
      <c r="S147" s="587"/>
      <c r="U147" s="581"/>
      <c r="V147" s="581"/>
      <c r="W147" s="581"/>
      <c r="X147" s="581"/>
      <c r="Y147" s="581"/>
      <c r="Z147" s="581"/>
      <c r="AA147" s="582"/>
      <c r="AB147" s="582"/>
      <c r="AC147" s="582"/>
      <c r="AD147" s="582"/>
      <c r="AE147" s="582"/>
      <c r="AF147" s="582"/>
      <c r="AG147" s="582"/>
      <c r="AH147" s="582"/>
      <c r="AI147" s="582"/>
      <c r="AJ147" s="582"/>
      <c r="AK147" s="582"/>
      <c r="AL147" s="582"/>
      <c r="AM147" s="582"/>
      <c r="AN147" s="582"/>
      <c r="AO147" s="582"/>
      <c r="AP147" s="582"/>
      <c r="AQ147" s="582"/>
      <c r="AR147" s="582"/>
      <c r="AS147" s="582"/>
      <c r="AT147" s="582"/>
      <c r="AU147" s="582"/>
      <c r="AV147" s="582"/>
      <c r="AW147" s="582"/>
      <c r="AX147" s="582"/>
      <c r="AY147" s="582"/>
      <c r="AZ147" s="582"/>
      <c r="BA147" s="582"/>
      <c r="BB147" s="582"/>
      <c r="BC147" s="582"/>
      <c r="BD147" s="582"/>
    </row>
    <row r="148" spans="2:56" s="583" customFormat="1" x14ac:dyDescent="0.3">
      <c r="B148" s="587"/>
      <c r="C148" s="587"/>
      <c r="D148" s="613"/>
      <c r="E148" s="614"/>
      <c r="F148" s="614"/>
      <c r="G148" s="614"/>
      <c r="H148" s="614"/>
      <c r="I148" s="614"/>
      <c r="J148" s="614"/>
      <c r="K148" s="614"/>
      <c r="L148" s="614"/>
      <c r="M148" s="614"/>
      <c r="N148" s="614"/>
      <c r="O148" s="614"/>
      <c r="P148" s="586"/>
      <c r="Q148" s="576"/>
      <c r="R148" s="576"/>
      <c r="S148" s="587"/>
      <c r="U148" s="581"/>
      <c r="V148" s="581"/>
      <c r="W148" s="581"/>
      <c r="X148" s="581"/>
      <c r="Y148" s="581"/>
      <c r="Z148" s="581"/>
      <c r="AA148" s="582"/>
      <c r="AB148" s="582"/>
      <c r="AC148" s="582"/>
      <c r="AD148" s="582"/>
      <c r="AE148" s="582"/>
      <c r="AF148" s="582"/>
      <c r="AG148" s="582"/>
      <c r="AH148" s="582"/>
      <c r="AI148" s="582"/>
      <c r="AJ148" s="582"/>
      <c r="AK148" s="582"/>
      <c r="AL148" s="582"/>
      <c r="AM148" s="582"/>
      <c r="AN148" s="582"/>
      <c r="AO148" s="582"/>
      <c r="AP148" s="582"/>
      <c r="AQ148" s="582"/>
      <c r="AR148" s="582"/>
      <c r="AS148" s="582"/>
      <c r="AT148" s="582"/>
      <c r="AU148" s="582"/>
      <c r="AV148" s="582"/>
      <c r="AW148" s="582"/>
      <c r="AX148" s="582"/>
      <c r="AY148" s="582"/>
      <c r="AZ148" s="582"/>
      <c r="BA148" s="582"/>
      <c r="BB148" s="582"/>
      <c r="BC148" s="582"/>
      <c r="BD148" s="582"/>
    </row>
    <row r="149" spans="2:56" s="583" customFormat="1" x14ac:dyDescent="0.3">
      <c r="B149" s="587"/>
      <c r="C149" s="587"/>
      <c r="D149" s="613"/>
      <c r="E149" s="614"/>
      <c r="F149" s="614"/>
      <c r="G149" s="614"/>
      <c r="H149" s="614"/>
      <c r="I149" s="614"/>
      <c r="J149" s="614"/>
      <c r="K149" s="614"/>
      <c r="L149" s="614"/>
      <c r="M149" s="614"/>
      <c r="N149" s="614"/>
      <c r="O149" s="614"/>
      <c r="P149" s="586"/>
      <c r="Q149" s="576"/>
      <c r="R149" s="576"/>
      <c r="S149" s="587"/>
      <c r="U149" s="581"/>
      <c r="V149" s="581"/>
      <c r="W149" s="581"/>
      <c r="X149" s="581"/>
      <c r="Y149" s="581"/>
      <c r="Z149" s="581"/>
      <c r="AA149" s="582"/>
      <c r="AB149" s="582"/>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2"/>
      <c r="AY149" s="582"/>
      <c r="AZ149" s="582"/>
      <c r="BA149" s="582"/>
      <c r="BB149" s="582"/>
      <c r="BC149" s="582"/>
      <c r="BD149" s="582"/>
    </row>
    <row r="150" spans="2:56" s="583" customFormat="1" x14ac:dyDescent="0.3">
      <c r="B150" s="587"/>
      <c r="C150" s="587"/>
      <c r="D150" s="613"/>
      <c r="E150" s="614"/>
      <c r="F150" s="614"/>
      <c r="G150" s="614"/>
      <c r="H150" s="614"/>
      <c r="I150" s="614"/>
      <c r="J150" s="614"/>
      <c r="K150" s="614"/>
      <c r="L150" s="614"/>
      <c r="M150" s="614"/>
      <c r="N150" s="614"/>
      <c r="O150" s="614"/>
      <c r="P150" s="586"/>
      <c r="Q150" s="576"/>
      <c r="R150" s="576"/>
      <c r="S150" s="587"/>
      <c r="U150" s="581"/>
      <c r="V150" s="581"/>
      <c r="W150" s="581"/>
      <c r="X150" s="581"/>
      <c r="Y150" s="581"/>
      <c r="Z150" s="581"/>
      <c r="AA150" s="582"/>
      <c r="AB150" s="582"/>
      <c r="AC150" s="582"/>
      <c r="AD150" s="582"/>
      <c r="AE150" s="582"/>
      <c r="AF150" s="582"/>
      <c r="AG150" s="582"/>
      <c r="AH150" s="582"/>
      <c r="AI150" s="582"/>
      <c r="AJ150" s="582"/>
      <c r="AK150" s="582"/>
      <c r="AL150" s="582"/>
      <c r="AM150" s="582"/>
      <c r="AN150" s="582"/>
      <c r="AO150" s="582"/>
      <c r="AP150" s="582"/>
      <c r="AQ150" s="582"/>
      <c r="AR150" s="582"/>
      <c r="AS150" s="582"/>
      <c r="AT150" s="582"/>
      <c r="AU150" s="582"/>
      <c r="AV150" s="582"/>
      <c r="AW150" s="582"/>
      <c r="AX150" s="582"/>
      <c r="AY150" s="582"/>
      <c r="AZ150" s="582"/>
      <c r="BA150" s="582"/>
      <c r="BB150" s="582"/>
      <c r="BC150" s="582"/>
      <c r="BD150" s="582"/>
    </row>
    <row r="151" spans="2:56" s="583" customFormat="1" x14ac:dyDescent="0.3">
      <c r="B151" s="587"/>
      <c r="C151" s="587"/>
      <c r="D151" s="618"/>
      <c r="E151" s="614"/>
      <c r="F151" s="614"/>
      <c r="G151" s="614"/>
      <c r="H151" s="614"/>
      <c r="I151" s="614"/>
      <c r="J151" s="614"/>
      <c r="K151" s="614"/>
      <c r="L151" s="614"/>
      <c r="M151" s="614"/>
      <c r="N151" s="614"/>
      <c r="O151" s="614"/>
      <c r="P151" s="586"/>
      <c r="Q151" s="576"/>
      <c r="R151" s="576"/>
      <c r="S151" s="587"/>
      <c r="U151" s="581"/>
      <c r="V151" s="581"/>
      <c r="W151" s="581"/>
      <c r="X151" s="581"/>
      <c r="Y151" s="581"/>
      <c r="Z151" s="581"/>
      <c r="AA151" s="582"/>
      <c r="AB151" s="582"/>
      <c r="AC151" s="582"/>
      <c r="AD151" s="582"/>
      <c r="AE151" s="582"/>
      <c r="AF151" s="582"/>
      <c r="AG151" s="582"/>
      <c r="AH151" s="582"/>
      <c r="AI151" s="582"/>
      <c r="AJ151" s="582"/>
      <c r="AK151" s="582"/>
      <c r="AL151" s="582"/>
      <c r="AM151" s="582"/>
      <c r="AN151" s="582"/>
      <c r="AO151" s="582"/>
      <c r="AP151" s="582"/>
      <c r="AQ151" s="582"/>
      <c r="AR151" s="582"/>
      <c r="AS151" s="582"/>
      <c r="AT151" s="582"/>
      <c r="AU151" s="582"/>
      <c r="AV151" s="582"/>
      <c r="AW151" s="582"/>
      <c r="AX151" s="582"/>
      <c r="AY151" s="582"/>
      <c r="AZ151" s="582"/>
      <c r="BA151" s="582"/>
      <c r="BB151" s="582"/>
      <c r="BC151" s="582"/>
      <c r="BD151" s="582"/>
    </row>
    <row r="152" spans="2:56" s="583" customFormat="1" x14ac:dyDescent="0.3">
      <c r="B152" s="587"/>
      <c r="C152" s="587"/>
      <c r="D152" s="613"/>
      <c r="E152" s="614"/>
      <c r="F152" s="614"/>
      <c r="G152" s="614"/>
      <c r="H152" s="614"/>
      <c r="I152" s="614"/>
      <c r="J152" s="614"/>
      <c r="K152" s="614"/>
      <c r="L152" s="614"/>
      <c r="M152" s="614"/>
      <c r="N152" s="614"/>
      <c r="O152" s="614"/>
      <c r="P152" s="586"/>
      <c r="Q152" s="576"/>
      <c r="R152" s="576"/>
      <c r="S152" s="587"/>
      <c r="U152" s="581"/>
      <c r="V152" s="581"/>
      <c r="X152" s="581"/>
      <c r="Y152" s="581"/>
      <c r="Z152" s="581"/>
      <c r="AA152" s="582"/>
      <c r="AB152" s="582"/>
      <c r="AC152" s="582"/>
      <c r="AD152" s="582"/>
      <c r="AE152" s="582"/>
      <c r="AF152" s="582"/>
      <c r="AG152" s="582"/>
      <c r="AH152" s="582"/>
      <c r="AI152" s="582"/>
      <c r="AJ152" s="582"/>
      <c r="AK152" s="582"/>
      <c r="AL152" s="582"/>
      <c r="AM152" s="582"/>
      <c r="AN152" s="582"/>
      <c r="AO152" s="582"/>
      <c r="AP152" s="582"/>
      <c r="AQ152" s="582"/>
      <c r="AR152" s="582"/>
      <c r="AS152" s="582"/>
      <c r="AT152" s="582"/>
      <c r="AU152" s="582"/>
      <c r="AV152" s="582"/>
      <c r="AW152" s="582"/>
      <c r="AX152" s="582"/>
      <c r="AY152" s="582"/>
      <c r="AZ152" s="582"/>
      <c r="BA152" s="582"/>
      <c r="BB152" s="582"/>
      <c r="BC152" s="582"/>
      <c r="BD152" s="582"/>
    </row>
    <row r="153" spans="2:56" s="583" customFormat="1" x14ac:dyDescent="0.3">
      <c r="B153" s="587"/>
      <c r="C153" s="587"/>
      <c r="D153" s="613"/>
      <c r="E153" s="614"/>
      <c r="F153" s="614"/>
      <c r="G153" s="614"/>
      <c r="H153" s="614"/>
      <c r="I153" s="614"/>
      <c r="J153" s="614"/>
      <c r="K153" s="614"/>
      <c r="L153" s="614"/>
      <c r="M153" s="614"/>
      <c r="N153" s="614"/>
      <c r="O153" s="614"/>
      <c r="P153" s="586"/>
      <c r="Q153" s="576"/>
      <c r="R153" s="576"/>
      <c r="S153" s="587"/>
      <c r="U153" s="581"/>
      <c r="V153" s="581"/>
      <c r="W153" s="581"/>
      <c r="X153" s="581"/>
      <c r="Y153" s="581"/>
      <c r="Z153" s="581"/>
      <c r="AA153" s="582"/>
      <c r="AB153" s="582"/>
      <c r="AC153" s="582"/>
      <c r="AD153" s="582"/>
      <c r="AE153" s="582"/>
      <c r="AF153" s="582"/>
      <c r="AG153" s="582"/>
      <c r="AH153" s="582"/>
      <c r="AI153" s="582"/>
      <c r="AJ153" s="582"/>
      <c r="AK153" s="582"/>
      <c r="AL153" s="582"/>
      <c r="AM153" s="582"/>
      <c r="AN153" s="582"/>
      <c r="AO153" s="582"/>
      <c r="AP153" s="582"/>
      <c r="AQ153" s="582"/>
      <c r="AR153" s="582"/>
      <c r="AS153" s="582"/>
      <c r="AT153" s="582"/>
      <c r="AU153" s="582"/>
      <c r="AV153" s="582"/>
      <c r="AW153" s="582"/>
      <c r="AX153" s="582"/>
      <c r="AY153" s="582"/>
      <c r="AZ153" s="582"/>
      <c r="BA153" s="582"/>
      <c r="BB153" s="582"/>
      <c r="BC153" s="582"/>
      <c r="BD153" s="582"/>
    </row>
    <row r="154" spans="2:56" s="583" customFormat="1" x14ac:dyDescent="0.3">
      <c r="B154" s="587"/>
      <c r="C154" s="587"/>
      <c r="D154" s="613"/>
      <c r="E154" s="614"/>
      <c r="F154" s="614"/>
      <c r="G154" s="614"/>
      <c r="H154" s="614"/>
      <c r="I154" s="614"/>
      <c r="J154" s="614"/>
      <c r="K154" s="614"/>
      <c r="L154" s="614"/>
      <c r="M154" s="614"/>
      <c r="N154" s="614"/>
      <c r="O154" s="614"/>
      <c r="P154" s="586"/>
      <c r="Q154" s="576"/>
      <c r="R154" s="576"/>
      <c r="S154" s="587"/>
      <c r="U154" s="581"/>
      <c r="V154" s="581"/>
      <c r="W154" s="581"/>
      <c r="X154" s="581"/>
      <c r="Y154" s="581"/>
      <c r="Z154" s="581"/>
      <c r="AA154" s="582"/>
      <c r="AB154" s="582"/>
      <c r="AC154" s="582"/>
      <c r="AD154" s="582"/>
      <c r="AE154" s="582"/>
      <c r="AF154" s="582"/>
      <c r="AG154" s="582"/>
      <c r="AH154" s="582"/>
      <c r="AI154" s="582"/>
      <c r="AJ154" s="582"/>
      <c r="AK154" s="582"/>
      <c r="AL154" s="582"/>
      <c r="AM154" s="582"/>
      <c r="AN154" s="582"/>
      <c r="AO154" s="582"/>
      <c r="AP154" s="582"/>
      <c r="AQ154" s="582"/>
      <c r="AR154" s="582"/>
      <c r="AS154" s="582"/>
      <c r="AT154" s="582"/>
      <c r="AU154" s="582"/>
      <c r="AV154" s="582"/>
      <c r="AW154" s="582"/>
      <c r="AX154" s="582"/>
      <c r="AY154" s="582"/>
      <c r="AZ154" s="582"/>
      <c r="BA154" s="582"/>
      <c r="BB154" s="582"/>
      <c r="BC154" s="582"/>
      <c r="BD154" s="582"/>
    </row>
    <row r="155" spans="2:56" s="583" customFormat="1" x14ac:dyDescent="0.3">
      <c r="B155" s="587"/>
      <c r="C155" s="587"/>
      <c r="D155" s="613"/>
      <c r="E155" s="614"/>
      <c r="F155" s="614"/>
      <c r="G155" s="614"/>
      <c r="H155" s="614"/>
      <c r="I155" s="614"/>
      <c r="J155" s="614"/>
      <c r="K155" s="614"/>
      <c r="L155" s="614"/>
      <c r="M155" s="614"/>
      <c r="N155" s="614"/>
      <c r="O155" s="614"/>
      <c r="P155" s="586"/>
      <c r="Q155" s="576"/>
      <c r="R155" s="576"/>
      <c r="S155" s="587"/>
      <c r="U155" s="581"/>
      <c r="V155" s="581"/>
      <c r="W155" s="581"/>
      <c r="X155" s="581"/>
      <c r="Y155" s="581"/>
      <c r="Z155" s="581"/>
      <c r="AA155" s="582"/>
      <c r="AB155" s="582"/>
      <c r="AC155" s="582"/>
      <c r="AD155" s="582"/>
      <c r="AE155" s="582"/>
      <c r="AF155" s="582"/>
      <c r="AG155" s="582"/>
      <c r="AH155" s="582"/>
      <c r="AI155" s="582"/>
      <c r="AJ155" s="582"/>
      <c r="AK155" s="582"/>
      <c r="AL155" s="582"/>
      <c r="AM155" s="582"/>
      <c r="AN155" s="582"/>
      <c r="AO155" s="582"/>
      <c r="AP155" s="582"/>
      <c r="AQ155" s="582"/>
      <c r="AR155" s="582"/>
      <c r="AS155" s="582"/>
      <c r="AT155" s="582"/>
      <c r="AU155" s="582"/>
      <c r="AV155" s="582"/>
      <c r="AW155" s="582"/>
      <c r="AX155" s="582"/>
      <c r="AY155" s="582"/>
      <c r="AZ155" s="582"/>
      <c r="BA155" s="582"/>
      <c r="BB155" s="582"/>
      <c r="BC155" s="582"/>
      <c r="BD155" s="582"/>
    </row>
    <row r="156" spans="2:56" s="583" customFormat="1" x14ac:dyDescent="0.3">
      <c r="B156" s="587"/>
      <c r="C156" s="587"/>
      <c r="D156" s="613"/>
      <c r="E156" s="614"/>
      <c r="F156" s="614"/>
      <c r="G156" s="614"/>
      <c r="H156" s="614"/>
      <c r="I156" s="614"/>
      <c r="J156" s="614"/>
      <c r="K156" s="614"/>
      <c r="L156" s="614"/>
      <c r="M156" s="614"/>
      <c r="N156" s="614"/>
      <c r="O156" s="614"/>
      <c r="P156" s="586"/>
      <c r="Q156" s="576"/>
      <c r="R156" s="576"/>
      <c r="S156" s="587"/>
      <c r="U156" s="581"/>
      <c r="V156" s="581"/>
      <c r="W156" s="581" t="str">
        <f>"Taux de rentabilité internes (TRI) sur "&amp;$G$41&amp;" ans - Scénario de prix ''"&amp;$G$46&amp;"''"</f>
        <v>Taux de rentabilité internes (TRI) sur 20 ans - Scénario de prix ''Personnalisé''</v>
      </c>
      <c r="X156" s="581"/>
      <c r="Y156" s="581"/>
      <c r="Z156" s="581"/>
      <c r="AA156" s="582"/>
      <c r="AB156" s="582"/>
      <c r="AC156" s="582"/>
      <c r="AD156" s="582"/>
      <c r="AE156" s="582"/>
      <c r="AF156" s="582"/>
      <c r="AG156" s="582"/>
      <c r="AH156" s="582"/>
      <c r="AI156" s="582"/>
      <c r="AJ156" s="582"/>
      <c r="AK156" s="582"/>
      <c r="AL156" s="582"/>
      <c r="AM156" s="582"/>
      <c r="AN156" s="582"/>
      <c r="AO156" s="582"/>
      <c r="AP156" s="582"/>
      <c r="AQ156" s="582"/>
      <c r="AR156" s="582"/>
      <c r="AS156" s="582"/>
      <c r="AT156" s="582"/>
      <c r="AU156" s="582"/>
      <c r="AV156" s="582"/>
      <c r="AW156" s="582"/>
      <c r="AX156" s="582"/>
      <c r="AY156" s="582"/>
      <c r="AZ156" s="582"/>
      <c r="BA156" s="582"/>
      <c r="BB156" s="582"/>
      <c r="BC156" s="582"/>
      <c r="BD156" s="582"/>
    </row>
    <row r="157" spans="2:56" s="583" customFormat="1" x14ac:dyDescent="0.3">
      <c r="B157" s="587"/>
      <c r="C157" s="587"/>
      <c r="D157" s="618"/>
      <c r="E157" s="614"/>
      <c r="F157" s="614"/>
      <c r="G157" s="614"/>
      <c r="H157" s="614"/>
      <c r="I157" s="614"/>
      <c r="J157" s="614"/>
      <c r="K157" s="614"/>
      <c r="L157" s="614"/>
      <c r="M157" s="614"/>
      <c r="N157" s="614"/>
      <c r="O157" s="614"/>
      <c r="P157" s="586"/>
      <c r="Q157" s="576"/>
      <c r="R157" s="576"/>
      <c r="S157" s="587"/>
      <c r="U157" s="581"/>
      <c r="V157" s="581"/>
      <c r="W157" s="581" t="str">
        <f>"Valeurs actualisées nettes des investissements (VAN) sur "&amp;$G$41&amp;" ans - Scénario de prix ''"&amp;$G$46&amp;"'' - Taux d'actualisation de "&amp;W226&amp;"% - k€"</f>
        <v>Valeurs actualisées nettes des investissements (VAN) sur 20 ans - Scénario de prix ''Personnalisé'' - Taux d'actualisation de 10% - k€</v>
      </c>
      <c r="X157" s="581"/>
      <c r="Y157" s="581"/>
      <c r="Z157" s="581"/>
      <c r="AA157" s="582"/>
      <c r="AB157" s="582"/>
      <c r="AC157" s="582"/>
      <c r="AD157" s="582"/>
      <c r="AE157" s="582"/>
      <c r="AF157" s="582"/>
      <c r="AG157" s="582"/>
      <c r="AH157" s="582"/>
      <c r="AI157" s="582"/>
      <c r="AJ157" s="582"/>
      <c r="AK157" s="582"/>
      <c r="AL157" s="582"/>
      <c r="AM157" s="582"/>
      <c r="AN157" s="582"/>
      <c r="AO157" s="582"/>
      <c r="AP157" s="582"/>
      <c r="AQ157" s="582"/>
      <c r="AR157" s="582"/>
      <c r="AS157" s="582"/>
      <c r="AT157" s="582"/>
      <c r="AU157" s="582"/>
      <c r="AV157" s="582"/>
      <c r="AW157" s="582"/>
      <c r="AX157" s="582"/>
      <c r="AY157" s="582"/>
      <c r="AZ157" s="582"/>
      <c r="BA157" s="582"/>
      <c r="BB157" s="582"/>
      <c r="BC157" s="582"/>
      <c r="BD157" s="582"/>
    </row>
    <row r="158" spans="2:56" s="583" customFormat="1" x14ac:dyDescent="0.3">
      <c r="B158" s="587"/>
      <c r="C158" s="587"/>
      <c r="D158" s="613"/>
      <c r="E158" s="614"/>
      <c r="F158" s="614"/>
      <c r="G158" s="614"/>
      <c r="H158" s="614"/>
      <c r="I158" s="614"/>
      <c r="J158" s="614"/>
      <c r="K158" s="614"/>
      <c r="L158" s="614"/>
      <c r="M158" s="614"/>
      <c r="N158" s="614"/>
      <c r="O158" s="614"/>
      <c r="P158" s="586"/>
      <c r="Q158" s="576"/>
      <c r="R158" s="576"/>
      <c r="S158" s="587"/>
      <c r="U158" s="581"/>
      <c r="V158" s="581"/>
      <c r="X158" s="581"/>
      <c r="Y158" s="581"/>
      <c r="Z158" s="581"/>
      <c r="AA158" s="582"/>
      <c r="AB158" s="582"/>
      <c r="AC158" s="582"/>
      <c r="AD158" s="582"/>
      <c r="AE158" s="582"/>
      <c r="AF158" s="582"/>
      <c r="AG158" s="582"/>
      <c r="AH158" s="582"/>
      <c r="AI158" s="582"/>
      <c r="AJ158" s="582"/>
      <c r="AK158" s="582"/>
      <c r="AL158" s="582"/>
      <c r="AM158" s="582"/>
      <c r="AN158" s="582"/>
      <c r="AO158" s="582"/>
      <c r="AP158" s="582"/>
      <c r="AQ158" s="582"/>
      <c r="AR158" s="582"/>
      <c r="AS158" s="582"/>
      <c r="AT158" s="582"/>
      <c r="AU158" s="582"/>
      <c r="AV158" s="582"/>
      <c r="AW158" s="582"/>
      <c r="AX158" s="582"/>
      <c r="AY158" s="582"/>
      <c r="AZ158" s="582"/>
      <c r="BA158" s="582"/>
      <c r="BB158" s="582"/>
      <c r="BC158" s="582"/>
      <c r="BD158" s="582"/>
    </row>
    <row r="159" spans="2:56" s="583" customFormat="1" x14ac:dyDescent="0.3">
      <c r="B159" s="587"/>
      <c r="C159" s="587"/>
      <c r="D159" s="613"/>
      <c r="E159" s="614"/>
      <c r="F159" s="614"/>
      <c r="G159" s="614"/>
      <c r="H159" s="614"/>
      <c r="I159" s="614"/>
      <c r="J159" s="614"/>
      <c r="K159" s="614"/>
      <c r="L159" s="614"/>
      <c r="M159" s="614"/>
      <c r="N159" s="614"/>
      <c r="O159" s="614"/>
      <c r="P159" s="586"/>
      <c r="Q159" s="576"/>
      <c r="R159" s="576"/>
      <c r="S159" s="587"/>
      <c r="U159" s="581"/>
      <c r="V159" s="581"/>
      <c r="W159" s="581"/>
      <c r="X159" s="581"/>
      <c r="Y159" s="581"/>
      <c r="Z159" s="581"/>
      <c r="AA159" s="582"/>
      <c r="AB159" s="582"/>
      <c r="AC159" s="582"/>
      <c r="AD159" s="582"/>
      <c r="AE159" s="582"/>
      <c r="AF159" s="582"/>
      <c r="AG159" s="582"/>
      <c r="AH159" s="582"/>
      <c r="AI159" s="582"/>
      <c r="AJ159" s="582"/>
      <c r="AK159" s="582"/>
      <c r="AL159" s="582"/>
      <c r="AM159" s="582"/>
      <c r="AN159" s="582"/>
      <c r="AO159" s="582"/>
      <c r="AP159" s="582"/>
      <c r="AQ159" s="582"/>
      <c r="AR159" s="582"/>
      <c r="AS159" s="582"/>
      <c r="AT159" s="582"/>
      <c r="AU159" s="582"/>
      <c r="AV159" s="582"/>
      <c r="AW159" s="582"/>
      <c r="AX159" s="582"/>
      <c r="AY159" s="582"/>
      <c r="AZ159" s="582"/>
      <c r="BA159" s="582"/>
      <c r="BB159" s="582"/>
      <c r="BC159" s="582"/>
      <c r="BD159" s="582"/>
    </row>
    <row r="160" spans="2:56" s="583" customFormat="1" x14ac:dyDescent="0.3">
      <c r="B160" s="587"/>
      <c r="C160" s="587"/>
      <c r="D160" s="613"/>
      <c r="E160" s="614"/>
      <c r="F160" s="614"/>
      <c r="G160" s="614"/>
      <c r="H160" s="614"/>
      <c r="I160" s="614"/>
      <c r="J160" s="614"/>
      <c r="K160" s="614"/>
      <c r="L160" s="614"/>
      <c r="M160" s="614"/>
      <c r="N160" s="614"/>
      <c r="O160" s="614"/>
      <c r="P160" s="586"/>
      <c r="Q160" s="576"/>
      <c r="R160" s="576"/>
      <c r="S160" s="587"/>
      <c r="U160" s="581"/>
      <c r="V160" s="581"/>
      <c r="W160" s="581"/>
      <c r="X160" s="581"/>
      <c r="Y160" s="581"/>
      <c r="Z160" s="581"/>
      <c r="AA160" s="582"/>
      <c r="AB160" s="582"/>
      <c r="AC160" s="582"/>
      <c r="AD160" s="582"/>
      <c r="AE160" s="582"/>
      <c r="AF160" s="582"/>
      <c r="AG160" s="582"/>
      <c r="AH160" s="582"/>
      <c r="AI160" s="582"/>
      <c r="AJ160" s="582"/>
      <c r="AK160" s="582"/>
      <c r="AL160" s="582"/>
      <c r="AM160" s="582"/>
      <c r="AN160" s="582"/>
      <c r="AO160" s="582"/>
      <c r="AP160" s="582"/>
      <c r="AQ160" s="582"/>
      <c r="AR160" s="582"/>
      <c r="AS160" s="582"/>
      <c r="AT160" s="582"/>
      <c r="AU160" s="582"/>
      <c r="AV160" s="582"/>
      <c r="AW160" s="582"/>
      <c r="AX160" s="582"/>
      <c r="AY160" s="582"/>
      <c r="AZ160" s="582"/>
      <c r="BA160" s="582"/>
      <c r="BB160" s="582"/>
      <c r="BC160" s="582"/>
      <c r="BD160" s="582"/>
    </row>
    <row r="161" spans="2:56" s="583" customFormat="1" x14ac:dyDescent="0.3">
      <c r="B161" s="587"/>
      <c r="C161" s="587"/>
      <c r="D161" s="613"/>
      <c r="E161" s="614"/>
      <c r="F161" s="614"/>
      <c r="G161" s="614"/>
      <c r="H161" s="614"/>
      <c r="I161" s="614"/>
      <c r="J161" s="614"/>
      <c r="K161" s="614"/>
      <c r="L161" s="614"/>
      <c r="M161" s="614"/>
      <c r="N161" s="614"/>
      <c r="O161" s="614"/>
      <c r="P161" s="586"/>
      <c r="Q161" s="576"/>
      <c r="R161" s="576"/>
      <c r="S161" s="587"/>
      <c r="U161" s="581"/>
      <c r="V161" s="581"/>
      <c r="W161" s="581"/>
      <c r="X161" s="581"/>
      <c r="Y161" s="581"/>
      <c r="Z161" s="581"/>
      <c r="AA161" s="582"/>
      <c r="AB161" s="582"/>
      <c r="AC161" s="582"/>
      <c r="AD161" s="582"/>
      <c r="AE161" s="582"/>
      <c r="AF161" s="582"/>
      <c r="AG161" s="582"/>
      <c r="AH161" s="582"/>
      <c r="AI161" s="582"/>
      <c r="AJ161" s="582"/>
      <c r="AK161" s="582"/>
      <c r="AL161" s="582"/>
      <c r="AM161" s="582"/>
      <c r="AN161" s="582"/>
      <c r="AO161" s="582"/>
      <c r="AP161" s="582"/>
      <c r="AQ161" s="582"/>
      <c r="AR161" s="582"/>
      <c r="AS161" s="582"/>
      <c r="AT161" s="582"/>
      <c r="AU161" s="582"/>
      <c r="AV161" s="582"/>
      <c r="AW161" s="582"/>
      <c r="AX161" s="582"/>
      <c r="AY161" s="582"/>
      <c r="AZ161" s="582"/>
      <c r="BA161" s="582"/>
      <c r="BB161" s="582"/>
      <c r="BC161" s="582"/>
      <c r="BD161" s="582"/>
    </row>
    <row r="162" spans="2:56" s="583" customFormat="1" x14ac:dyDescent="0.3">
      <c r="B162" s="587"/>
      <c r="C162" s="587"/>
      <c r="D162" s="618"/>
      <c r="E162" s="614"/>
      <c r="F162" s="614"/>
      <c r="G162" s="614"/>
      <c r="H162" s="614"/>
      <c r="I162" s="614"/>
      <c r="J162" s="614"/>
      <c r="K162" s="614"/>
      <c r="L162" s="614"/>
      <c r="M162" s="614"/>
      <c r="N162" s="614"/>
      <c r="O162" s="614"/>
      <c r="P162" s="586"/>
      <c r="Q162" s="576"/>
      <c r="R162" s="576"/>
      <c r="S162" s="587"/>
      <c r="U162" s="581"/>
      <c r="V162" s="581"/>
      <c r="W162" s="581"/>
      <c r="X162" s="581"/>
      <c r="Y162" s="581"/>
      <c r="Z162" s="581"/>
      <c r="AA162" s="582"/>
      <c r="AB162" s="582"/>
      <c r="AC162" s="582"/>
      <c r="AD162" s="582"/>
      <c r="AE162" s="582"/>
      <c r="AF162" s="582"/>
      <c r="AG162" s="582"/>
      <c r="AH162" s="582"/>
      <c r="AI162" s="582"/>
      <c r="AJ162" s="582"/>
      <c r="AK162" s="582"/>
      <c r="AL162" s="582"/>
      <c r="AM162" s="582"/>
      <c r="AN162" s="582"/>
      <c r="AO162" s="582"/>
      <c r="AP162" s="582"/>
      <c r="AQ162" s="582"/>
      <c r="AR162" s="582"/>
      <c r="AS162" s="582"/>
      <c r="AT162" s="582"/>
      <c r="AU162" s="582"/>
      <c r="AV162" s="582"/>
      <c r="AW162" s="582"/>
      <c r="AX162" s="582"/>
      <c r="AY162" s="582"/>
      <c r="AZ162" s="582"/>
      <c r="BA162" s="582"/>
      <c r="BB162" s="582"/>
      <c r="BC162" s="582"/>
      <c r="BD162" s="582"/>
    </row>
    <row r="163" spans="2:56" s="583" customFormat="1" x14ac:dyDescent="0.3">
      <c r="B163" s="587"/>
      <c r="C163" s="587"/>
      <c r="D163" s="613"/>
      <c r="E163" s="614"/>
      <c r="F163" s="614"/>
      <c r="G163" s="614"/>
      <c r="H163" s="614"/>
      <c r="I163" s="614"/>
      <c r="J163" s="614"/>
      <c r="K163" s="614"/>
      <c r="L163" s="614"/>
      <c r="M163" s="614"/>
      <c r="N163" s="614"/>
      <c r="O163" s="614"/>
      <c r="P163" s="586"/>
      <c r="Q163" s="576"/>
      <c r="R163" s="576"/>
      <c r="S163" s="587"/>
      <c r="U163" s="581"/>
      <c r="V163" s="581"/>
      <c r="W163" s="581"/>
      <c r="X163" s="581"/>
      <c r="Y163" s="581"/>
      <c r="Z163" s="581"/>
      <c r="AA163" s="582"/>
      <c r="AB163" s="582"/>
      <c r="AC163" s="582"/>
      <c r="AD163" s="582"/>
      <c r="AE163" s="582"/>
      <c r="AF163" s="582"/>
      <c r="AG163" s="582"/>
      <c r="AH163" s="582"/>
      <c r="AI163" s="582"/>
      <c r="AJ163" s="582"/>
      <c r="AK163" s="582"/>
      <c r="AL163" s="582"/>
      <c r="AM163" s="582"/>
      <c r="AN163" s="582"/>
      <c r="AO163" s="582"/>
      <c r="AP163" s="582"/>
      <c r="AQ163" s="582"/>
      <c r="AR163" s="582"/>
      <c r="AS163" s="582"/>
      <c r="AT163" s="582"/>
      <c r="AU163" s="582"/>
      <c r="AV163" s="582"/>
      <c r="AW163" s="582"/>
      <c r="AX163" s="582"/>
      <c r="AY163" s="582"/>
      <c r="AZ163" s="582"/>
      <c r="BA163" s="582"/>
      <c r="BB163" s="582"/>
      <c r="BC163" s="582"/>
      <c r="BD163" s="582"/>
    </row>
    <row r="164" spans="2:56" s="583" customFormat="1" x14ac:dyDescent="0.3">
      <c r="B164" s="587"/>
      <c r="C164" s="587"/>
      <c r="D164" s="613"/>
      <c r="E164" s="614"/>
      <c r="F164" s="614"/>
      <c r="G164" s="614"/>
      <c r="H164" s="614"/>
      <c r="I164" s="614"/>
      <c r="J164" s="614"/>
      <c r="K164" s="614"/>
      <c r="L164" s="614"/>
      <c r="M164" s="614"/>
      <c r="N164" s="614"/>
      <c r="O164" s="614"/>
      <c r="P164" s="586"/>
      <c r="Q164" s="576"/>
      <c r="R164" s="576"/>
      <c r="S164" s="587"/>
      <c r="U164" s="581"/>
      <c r="V164" s="581"/>
      <c r="W164" s="581"/>
      <c r="X164" s="581"/>
      <c r="Y164" s="581"/>
      <c r="Z164" s="581"/>
      <c r="AA164" s="582"/>
      <c r="AB164" s="582"/>
      <c r="AC164" s="582"/>
      <c r="AD164" s="582"/>
      <c r="AE164" s="582"/>
      <c r="AF164" s="582"/>
      <c r="AG164" s="582"/>
      <c r="AH164" s="582"/>
      <c r="AI164" s="582"/>
      <c r="AJ164" s="582"/>
      <c r="AK164" s="582"/>
      <c r="AL164" s="582"/>
      <c r="AM164" s="582"/>
      <c r="AN164" s="582"/>
      <c r="AO164" s="582"/>
      <c r="AP164" s="582"/>
      <c r="AQ164" s="582"/>
      <c r="AR164" s="582"/>
      <c r="AS164" s="582"/>
      <c r="AT164" s="582"/>
      <c r="AU164" s="582"/>
      <c r="AV164" s="582"/>
      <c r="AW164" s="582"/>
      <c r="AX164" s="582"/>
      <c r="AY164" s="582"/>
      <c r="AZ164" s="582"/>
      <c r="BA164" s="582"/>
      <c r="BB164" s="582"/>
      <c r="BC164" s="582"/>
      <c r="BD164" s="582"/>
    </row>
    <row r="165" spans="2:56" s="583" customFormat="1" x14ac:dyDescent="0.3">
      <c r="B165" s="587"/>
      <c r="C165" s="587"/>
      <c r="D165" s="613"/>
      <c r="E165" s="614"/>
      <c r="F165" s="614"/>
      <c r="G165" s="614"/>
      <c r="H165" s="614"/>
      <c r="I165" s="614"/>
      <c r="J165" s="614"/>
      <c r="K165" s="614"/>
      <c r="L165" s="614"/>
      <c r="M165" s="614"/>
      <c r="N165" s="614"/>
      <c r="O165" s="614"/>
      <c r="P165" s="586"/>
      <c r="Q165" s="576"/>
      <c r="R165" s="576"/>
      <c r="S165" s="587"/>
      <c r="U165" s="581"/>
      <c r="V165" s="581"/>
      <c r="W165" s="581"/>
      <c r="X165" s="581"/>
      <c r="Y165" s="581"/>
      <c r="Z165" s="581"/>
      <c r="AA165" s="582"/>
      <c r="AB165" s="582"/>
      <c r="AC165" s="582"/>
      <c r="AD165" s="582"/>
      <c r="AE165" s="582"/>
      <c r="AF165" s="582"/>
      <c r="AG165" s="582"/>
      <c r="AH165" s="582"/>
      <c r="AI165" s="582"/>
      <c r="AJ165" s="582"/>
      <c r="AK165" s="582"/>
      <c r="AL165" s="582"/>
      <c r="AM165" s="582"/>
      <c r="AN165" s="582"/>
      <c r="AO165" s="582"/>
      <c r="AP165" s="582"/>
      <c r="AQ165" s="582"/>
      <c r="AR165" s="582"/>
      <c r="AS165" s="582"/>
      <c r="AT165" s="582"/>
      <c r="AU165" s="582"/>
      <c r="AV165" s="582"/>
      <c r="AW165" s="582"/>
      <c r="AX165" s="582"/>
      <c r="AY165" s="582"/>
      <c r="AZ165" s="582"/>
      <c r="BA165" s="582"/>
      <c r="BB165" s="582"/>
      <c r="BC165" s="582"/>
      <c r="BD165" s="582"/>
    </row>
    <row r="166" spans="2:56" s="583" customFormat="1" x14ac:dyDescent="0.3">
      <c r="B166" s="587"/>
      <c r="C166" s="587"/>
      <c r="D166" s="613"/>
      <c r="E166" s="614"/>
      <c r="F166" s="614"/>
      <c r="G166" s="614"/>
      <c r="H166" s="614"/>
      <c r="I166" s="614"/>
      <c r="J166" s="614"/>
      <c r="K166" s="614"/>
      <c r="L166" s="614"/>
      <c r="M166" s="614"/>
      <c r="N166" s="614"/>
      <c r="O166" s="614"/>
      <c r="P166" s="586"/>
      <c r="Q166" s="576"/>
      <c r="R166" s="576"/>
      <c r="S166" s="587"/>
      <c r="U166" s="581"/>
      <c r="V166" s="581"/>
      <c r="W166" s="581"/>
      <c r="X166" s="581"/>
      <c r="Y166" s="581"/>
      <c r="Z166" s="581"/>
      <c r="AA166" s="582"/>
      <c r="AB166" s="582"/>
      <c r="AC166" s="582"/>
      <c r="AD166" s="582"/>
      <c r="AE166" s="582"/>
      <c r="AF166" s="582"/>
      <c r="AG166" s="582"/>
      <c r="AH166" s="582"/>
      <c r="AI166" s="582"/>
      <c r="AJ166" s="582"/>
      <c r="AK166" s="582"/>
      <c r="AL166" s="582"/>
      <c r="AM166" s="582"/>
      <c r="AN166" s="582"/>
      <c r="AO166" s="582"/>
      <c r="AP166" s="582"/>
      <c r="AQ166" s="582"/>
      <c r="AR166" s="582"/>
      <c r="AS166" s="582"/>
      <c r="AT166" s="582"/>
      <c r="AU166" s="582"/>
      <c r="AV166" s="582"/>
      <c r="AW166" s="582"/>
      <c r="AX166" s="582"/>
      <c r="AY166" s="582"/>
      <c r="AZ166" s="582"/>
      <c r="BA166" s="582"/>
      <c r="BB166" s="582"/>
      <c r="BC166" s="582"/>
      <c r="BD166" s="582"/>
    </row>
    <row r="167" spans="2:56" s="583" customFormat="1" x14ac:dyDescent="0.3">
      <c r="B167" s="587"/>
      <c r="C167" s="587"/>
      <c r="D167" s="618"/>
      <c r="E167" s="614"/>
      <c r="F167" s="614"/>
      <c r="G167" s="614"/>
      <c r="H167" s="614"/>
      <c r="I167" s="614"/>
      <c r="J167" s="614"/>
      <c r="K167" s="614"/>
      <c r="L167" s="614"/>
      <c r="M167" s="614"/>
      <c r="N167" s="614"/>
      <c r="O167" s="614"/>
      <c r="P167" s="586"/>
      <c r="Q167" s="576"/>
      <c r="R167" s="576"/>
      <c r="S167" s="587"/>
      <c r="U167" s="581"/>
      <c r="V167" s="581"/>
      <c r="W167" s="581"/>
      <c r="X167" s="581"/>
      <c r="Y167" s="581"/>
      <c r="Z167" s="581"/>
      <c r="AA167" s="582"/>
      <c r="AB167" s="582"/>
      <c r="AC167" s="582"/>
      <c r="AD167" s="582"/>
      <c r="AE167" s="582"/>
      <c r="AF167" s="582"/>
      <c r="AG167" s="582"/>
      <c r="AH167" s="582"/>
      <c r="AI167" s="582"/>
      <c r="AJ167" s="582"/>
      <c r="AK167" s="582"/>
      <c r="AL167" s="582"/>
      <c r="AM167" s="582"/>
      <c r="AN167" s="582"/>
      <c r="AO167" s="582"/>
      <c r="AP167" s="582"/>
      <c r="AQ167" s="582"/>
      <c r="AR167" s="582"/>
      <c r="AS167" s="582"/>
      <c r="AT167" s="582"/>
      <c r="AU167" s="582"/>
      <c r="AV167" s="582"/>
      <c r="AW167" s="582"/>
      <c r="AX167" s="582"/>
      <c r="AY167" s="582"/>
      <c r="AZ167" s="582"/>
      <c r="BA167" s="582"/>
      <c r="BB167" s="582"/>
      <c r="BC167" s="582"/>
      <c r="BD167" s="582"/>
    </row>
    <row r="168" spans="2:56" s="583" customFormat="1" x14ac:dyDescent="0.3">
      <c r="B168" s="587"/>
      <c r="C168" s="587"/>
      <c r="D168" s="613"/>
      <c r="E168" s="614"/>
      <c r="F168" s="614"/>
      <c r="G168" s="614"/>
      <c r="H168" s="614"/>
      <c r="I168" s="614"/>
      <c r="J168" s="614"/>
      <c r="K168" s="614"/>
      <c r="L168" s="614"/>
      <c r="M168" s="614"/>
      <c r="N168" s="614"/>
      <c r="O168" s="614"/>
      <c r="P168" s="586"/>
      <c r="Q168" s="576"/>
      <c r="R168" s="576"/>
      <c r="S168" s="587"/>
      <c r="U168" s="581"/>
      <c r="V168" s="581"/>
      <c r="W168" s="581"/>
      <c r="X168" s="581"/>
      <c r="Y168" s="581"/>
      <c r="Z168" s="581"/>
      <c r="AA168" s="582"/>
      <c r="AB168" s="582"/>
      <c r="AC168" s="582"/>
      <c r="AD168" s="582"/>
      <c r="AE168" s="582"/>
      <c r="AF168" s="582"/>
      <c r="AG168" s="582"/>
      <c r="AH168" s="582"/>
      <c r="AI168" s="582"/>
      <c r="AJ168" s="582"/>
      <c r="AK168" s="582"/>
      <c r="AL168" s="582"/>
      <c r="AM168" s="582"/>
      <c r="AN168" s="582"/>
      <c r="AO168" s="582"/>
      <c r="AP168" s="582"/>
      <c r="AQ168" s="582"/>
      <c r="AR168" s="582"/>
      <c r="AS168" s="582"/>
      <c r="AT168" s="582"/>
      <c r="AU168" s="582"/>
      <c r="AV168" s="582"/>
      <c r="AW168" s="582"/>
      <c r="AX168" s="582"/>
      <c r="AY168" s="582"/>
      <c r="AZ168" s="582"/>
      <c r="BA168" s="582"/>
      <c r="BB168" s="582"/>
      <c r="BC168" s="582"/>
      <c r="BD168" s="582"/>
    </row>
    <row r="169" spans="2:56" s="583" customFormat="1" x14ac:dyDescent="0.3">
      <c r="B169" s="587"/>
      <c r="C169" s="587"/>
      <c r="D169" s="613"/>
      <c r="E169" s="614"/>
      <c r="F169" s="614"/>
      <c r="G169" s="614"/>
      <c r="H169" s="614"/>
      <c r="I169" s="614"/>
      <c r="J169" s="614"/>
      <c r="K169" s="614"/>
      <c r="L169" s="614"/>
      <c r="M169" s="614"/>
      <c r="N169" s="614"/>
      <c r="O169" s="614"/>
      <c r="P169" s="586"/>
      <c r="Q169" s="576"/>
      <c r="R169" s="576"/>
      <c r="S169" s="587"/>
      <c r="U169" s="581"/>
      <c r="V169" s="581"/>
      <c r="W169" s="581"/>
      <c r="X169" s="581"/>
      <c r="Y169" s="581"/>
      <c r="Z169" s="581"/>
      <c r="AA169" s="582"/>
      <c r="AB169" s="582"/>
      <c r="AC169" s="582"/>
      <c r="AD169" s="582"/>
      <c r="AE169" s="582"/>
      <c r="AF169" s="582"/>
      <c r="AG169" s="582"/>
      <c r="AH169" s="582"/>
      <c r="AI169" s="582"/>
      <c r="AJ169" s="582"/>
      <c r="AK169" s="582"/>
      <c r="AL169" s="582"/>
      <c r="AM169" s="582"/>
      <c r="AN169" s="582"/>
      <c r="AO169" s="582"/>
      <c r="AP169" s="582"/>
      <c r="AQ169" s="582"/>
      <c r="AR169" s="582"/>
      <c r="AS169" s="582"/>
      <c r="AT169" s="582"/>
      <c r="AU169" s="582"/>
      <c r="AV169" s="582"/>
      <c r="AW169" s="582"/>
      <c r="AX169" s="582"/>
      <c r="AY169" s="582"/>
      <c r="AZ169" s="582"/>
      <c r="BA169" s="582"/>
      <c r="BB169" s="582"/>
      <c r="BC169" s="582"/>
      <c r="BD169" s="582"/>
    </row>
    <row r="170" spans="2:56" s="583" customFormat="1" x14ac:dyDescent="0.3">
      <c r="B170" s="587"/>
      <c r="C170" s="587"/>
      <c r="D170" s="613"/>
      <c r="E170" s="614"/>
      <c r="F170" s="614"/>
      <c r="G170" s="614"/>
      <c r="H170" s="614"/>
      <c r="I170" s="614"/>
      <c r="J170" s="614"/>
      <c r="K170" s="614"/>
      <c r="L170" s="614"/>
      <c r="M170" s="614"/>
      <c r="N170" s="614"/>
      <c r="O170" s="614"/>
      <c r="P170" s="586"/>
      <c r="Q170" s="576"/>
      <c r="R170" s="576"/>
      <c r="S170" s="587"/>
      <c r="U170" s="581"/>
      <c r="V170" s="581"/>
      <c r="W170" s="581"/>
      <c r="X170" s="581"/>
      <c r="Y170" s="581"/>
      <c r="Z170" s="581"/>
      <c r="AA170" s="582"/>
      <c r="AB170" s="582"/>
      <c r="AC170" s="582"/>
      <c r="AD170" s="582"/>
      <c r="AE170" s="582"/>
      <c r="AF170" s="582"/>
      <c r="AG170" s="582"/>
      <c r="AH170" s="582"/>
      <c r="AI170" s="582"/>
      <c r="AJ170" s="582"/>
      <c r="AK170" s="582"/>
      <c r="AL170" s="582"/>
      <c r="AM170" s="582"/>
      <c r="AN170" s="582"/>
      <c r="AO170" s="582"/>
      <c r="AP170" s="582"/>
      <c r="AQ170" s="582"/>
      <c r="AR170" s="582"/>
      <c r="AS170" s="582"/>
      <c r="AT170" s="582"/>
      <c r="AU170" s="582"/>
      <c r="AV170" s="582"/>
      <c r="AW170" s="582"/>
      <c r="AX170" s="582"/>
      <c r="AY170" s="582"/>
      <c r="AZ170" s="582"/>
      <c r="BA170" s="582"/>
      <c r="BB170" s="582"/>
      <c r="BC170" s="582"/>
      <c r="BD170" s="582"/>
    </row>
    <row r="171" spans="2:56" s="583" customFormat="1" x14ac:dyDescent="0.3">
      <c r="B171" s="587"/>
      <c r="C171" s="587"/>
      <c r="D171" s="613"/>
      <c r="E171" s="614"/>
      <c r="F171" s="614"/>
      <c r="G171" s="614"/>
      <c r="H171" s="614"/>
      <c r="I171" s="614"/>
      <c r="J171" s="614"/>
      <c r="K171" s="614"/>
      <c r="L171" s="614"/>
      <c r="M171" s="614"/>
      <c r="N171" s="614"/>
      <c r="O171" s="614"/>
      <c r="P171" s="586"/>
      <c r="Q171" s="576"/>
      <c r="R171" s="576"/>
      <c r="S171" s="587"/>
      <c r="U171" s="581"/>
      <c r="V171" s="581"/>
      <c r="W171" s="581"/>
      <c r="X171" s="581"/>
      <c r="Y171" s="581"/>
      <c r="Z171" s="581"/>
      <c r="AA171" s="582"/>
      <c r="AB171" s="582"/>
      <c r="AC171" s="582"/>
      <c r="AD171" s="582"/>
      <c r="AE171" s="582"/>
      <c r="AF171" s="582"/>
      <c r="AG171" s="582"/>
      <c r="AH171" s="582"/>
      <c r="AI171" s="582"/>
      <c r="AJ171" s="582"/>
      <c r="AK171" s="582"/>
      <c r="AL171" s="582"/>
      <c r="AM171" s="582"/>
      <c r="AN171" s="582"/>
      <c r="AO171" s="582"/>
      <c r="AP171" s="582"/>
      <c r="AQ171" s="582"/>
      <c r="AR171" s="582"/>
      <c r="AS171" s="582"/>
      <c r="AT171" s="582"/>
      <c r="AU171" s="582"/>
      <c r="AV171" s="582"/>
      <c r="AW171" s="582"/>
      <c r="AX171" s="582"/>
      <c r="AY171" s="582"/>
      <c r="AZ171" s="582"/>
      <c r="BA171" s="582"/>
      <c r="BB171" s="582"/>
      <c r="BC171" s="582"/>
      <c r="BD171" s="582"/>
    </row>
    <row r="172" spans="2:56" s="583" customFormat="1" x14ac:dyDescent="0.3">
      <c r="B172" s="587"/>
      <c r="C172" s="587"/>
      <c r="D172" s="613"/>
      <c r="E172" s="614"/>
      <c r="F172" s="614"/>
      <c r="G172" s="614"/>
      <c r="H172" s="614"/>
      <c r="I172" s="614"/>
      <c r="J172" s="614"/>
      <c r="K172" s="614"/>
      <c r="L172" s="614"/>
      <c r="M172" s="614"/>
      <c r="N172" s="614"/>
      <c r="O172" s="614"/>
      <c r="P172" s="586"/>
      <c r="Q172" s="576"/>
      <c r="R172" s="576"/>
      <c r="S172" s="587"/>
      <c r="U172" s="581"/>
      <c r="V172" s="581"/>
      <c r="W172" s="581"/>
      <c r="X172" s="581"/>
      <c r="Y172" s="581"/>
      <c r="Z172" s="581"/>
      <c r="AA172" s="582"/>
      <c r="AB172" s="582"/>
      <c r="AC172" s="582"/>
      <c r="AD172" s="582"/>
      <c r="AE172" s="582"/>
      <c r="AF172" s="582"/>
      <c r="AG172" s="582"/>
      <c r="AH172" s="582"/>
      <c r="AI172" s="582"/>
      <c r="AJ172" s="582"/>
      <c r="AK172" s="582"/>
      <c r="AL172" s="582"/>
      <c r="AM172" s="582"/>
      <c r="AN172" s="582"/>
      <c r="AO172" s="582"/>
      <c r="AP172" s="582"/>
      <c r="AQ172" s="582"/>
      <c r="AR172" s="582"/>
      <c r="AS172" s="582"/>
      <c r="AT172" s="582"/>
      <c r="AU172" s="582"/>
      <c r="AV172" s="582"/>
      <c r="AW172" s="582"/>
      <c r="AX172" s="582"/>
      <c r="AY172" s="582"/>
      <c r="AZ172" s="582"/>
      <c r="BA172" s="582"/>
      <c r="BB172" s="582"/>
      <c r="BC172" s="582"/>
      <c r="BD172" s="582"/>
    </row>
    <row r="173" spans="2:56" s="583" customFormat="1" x14ac:dyDescent="0.3">
      <c r="B173" s="587"/>
      <c r="C173" s="587"/>
      <c r="D173" s="613"/>
      <c r="E173" s="614"/>
      <c r="F173" s="614"/>
      <c r="G173" s="614"/>
      <c r="H173" s="614"/>
      <c r="I173" s="614"/>
      <c r="J173" s="614"/>
      <c r="K173" s="614"/>
      <c r="L173" s="614"/>
      <c r="M173" s="614"/>
      <c r="N173" s="614"/>
      <c r="O173" s="614"/>
      <c r="P173" s="586"/>
      <c r="Q173" s="576"/>
      <c r="R173" s="576"/>
      <c r="S173" s="587"/>
      <c r="U173" s="581"/>
      <c r="V173" s="581"/>
      <c r="W173" s="581"/>
      <c r="X173" s="581"/>
      <c r="Y173" s="581"/>
      <c r="Z173" s="581"/>
      <c r="AA173" s="582"/>
      <c r="AB173" s="582"/>
      <c r="AC173" s="582"/>
      <c r="AD173" s="582"/>
      <c r="AE173" s="582"/>
      <c r="AF173" s="582"/>
      <c r="AG173" s="582"/>
      <c r="AH173" s="582"/>
      <c r="AI173" s="582"/>
      <c r="AJ173" s="582"/>
      <c r="AK173" s="582"/>
      <c r="AL173" s="582"/>
      <c r="AM173" s="582"/>
      <c r="AN173" s="582"/>
      <c r="AO173" s="582"/>
      <c r="AP173" s="582"/>
      <c r="AQ173" s="582"/>
      <c r="AR173" s="582"/>
      <c r="AS173" s="582"/>
      <c r="AT173" s="582"/>
      <c r="AU173" s="582"/>
      <c r="AV173" s="582"/>
      <c r="AW173" s="582"/>
      <c r="AX173" s="582"/>
      <c r="AY173" s="582"/>
      <c r="AZ173" s="582"/>
      <c r="BA173" s="582"/>
      <c r="BB173" s="582"/>
      <c r="BC173" s="582"/>
      <c r="BD173" s="582"/>
    </row>
    <row r="174" spans="2:56" s="583" customFormat="1" x14ac:dyDescent="0.3">
      <c r="B174" s="587"/>
      <c r="C174" s="587"/>
      <c r="D174" s="619"/>
      <c r="E174" s="620"/>
      <c r="F174" s="620"/>
      <c r="G174" s="620"/>
      <c r="H174" s="620"/>
      <c r="I174" s="620"/>
      <c r="J174" s="620"/>
      <c r="K174" s="620"/>
      <c r="L174" s="620"/>
      <c r="M174" s="620"/>
      <c r="N174" s="620"/>
      <c r="O174" s="620"/>
      <c r="P174" s="612"/>
      <c r="Q174" s="576"/>
      <c r="R174" s="576"/>
      <c r="S174" s="587"/>
      <c r="U174" s="581"/>
      <c r="V174" s="581"/>
      <c r="W174" s="581"/>
      <c r="X174" s="581"/>
      <c r="Y174" s="581"/>
      <c r="Z174" s="581"/>
      <c r="AA174" s="582"/>
      <c r="AB174" s="582"/>
      <c r="AC174" s="582"/>
      <c r="AD174" s="582"/>
      <c r="AE174" s="582"/>
      <c r="AF174" s="582"/>
      <c r="AG174" s="582"/>
      <c r="AH174" s="582"/>
      <c r="AI174" s="582"/>
      <c r="AJ174" s="582"/>
      <c r="AK174" s="582"/>
      <c r="AL174" s="582"/>
      <c r="AM174" s="582"/>
      <c r="AN174" s="582"/>
      <c r="AO174" s="582"/>
      <c r="AP174" s="582"/>
      <c r="AQ174" s="582"/>
      <c r="AR174" s="582"/>
      <c r="AS174" s="582"/>
      <c r="AT174" s="582"/>
      <c r="AU174" s="582"/>
      <c r="AV174" s="582"/>
      <c r="AW174" s="582"/>
      <c r="AX174" s="582"/>
      <c r="AY174" s="582"/>
      <c r="AZ174" s="582"/>
      <c r="BA174" s="582"/>
      <c r="BB174" s="582"/>
      <c r="BC174" s="582"/>
      <c r="BD174" s="582"/>
    </row>
    <row r="175" spans="2:56" s="583" customFormat="1" x14ac:dyDescent="0.3">
      <c r="B175" s="587"/>
      <c r="C175" s="587"/>
      <c r="D175" s="584"/>
      <c r="E175" s="585"/>
      <c r="F175" s="585"/>
      <c r="G175" s="585"/>
      <c r="H175" s="585"/>
      <c r="I175" s="585"/>
      <c r="J175" s="585"/>
      <c r="K175" s="585"/>
      <c r="L175" s="585"/>
      <c r="M175" s="585"/>
      <c r="N175" s="585"/>
      <c r="O175" s="585"/>
      <c r="P175" s="586"/>
      <c r="Q175" s="576"/>
      <c r="R175" s="576"/>
      <c r="S175" s="587"/>
      <c r="U175" s="581"/>
      <c r="V175" s="581"/>
      <c r="W175" s="581"/>
      <c r="X175" s="581"/>
      <c r="Y175" s="581"/>
      <c r="Z175" s="581"/>
      <c r="AA175" s="582"/>
      <c r="AB175" s="582"/>
      <c r="AC175" s="582"/>
      <c r="AD175" s="582"/>
      <c r="AE175" s="582"/>
      <c r="AF175" s="582"/>
      <c r="AG175" s="582"/>
      <c r="AH175" s="582"/>
      <c r="AI175" s="582"/>
      <c r="AJ175" s="582"/>
      <c r="AK175" s="582"/>
      <c r="AL175" s="582"/>
      <c r="AM175" s="582"/>
      <c r="AN175" s="582"/>
      <c r="AO175" s="582"/>
      <c r="AP175" s="582"/>
      <c r="AQ175" s="582"/>
      <c r="AR175" s="582"/>
      <c r="AS175" s="582"/>
      <c r="AT175" s="582"/>
      <c r="AU175" s="582"/>
      <c r="AV175" s="582"/>
      <c r="AW175" s="582"/>
      <c r="AX175" s="582"/>
      <c r="AY175" s="582"/>
      <c r="AZ175" s="582"/>
      <c r="BA175" s="582"/>
      <c r="BB175" s="582"/>
      <c r="BC175" s="582"/>
      <c r="BD175" s="582"/>
    </row>
    <row r="176" spans="2:56" s="583" customFormat="1" x14ac:dyDescent="0.3">
      <c r="B176" s="587"/>
      <c r="C176" s="587"/>
      <c r="D176" s="584"/>
      <c r="E176" s="585"/>
      <c r="F176" s="585"/>
      <c r="G176" s="585"/>
      <c r="H176" s="585"/>
      <c r="I176" s="585"/>
      <c r="J176" s="585"/>
      <c r="K176" s="585"/>
      <c r="L176" s="585"/>
      <c r="M176" s="585"/>
      <c r="N176" s="585"/>
      <c r="O176" s="585"/>
      <c r="P176" s="586"/>
      <c r="Q176" s="576"/>
      <c r="R176" s="576"/>
      <c r="S176" s="587"/>
      <c r="U176" s="581"/>
      <c r="V176" s="581"/>
      <c r="W176" s="581" t="str">
        <f>"TRI sur "&amp;$G$41&amp;" ans - Scénario de prix ''"&amp;$G$46&amp;"''"</f>
        <v>TRI sur 20 ans - Scénario de prix ''Personnalisé''</v>
      </c>
      <c r="X176" s="581"/>
      <c r="Y176" s="581"/>
      <c r="Z176" s="581"/>
      <c r="AA176" s="582"/>
      <c r="AB176" s="582"/>
      <c r="AC176" s="582"/>
      <c r="AD176" s="582"/>
      <c r="AE176" s="582"/>
      <c r="AF176" s="582"/>
      <c r="AG176" s="582"/>
      <c r="AH176" s="582"/>
      <c r="AI176" s="582"/>
      <c r="AJ176" s="582"/>
      <c r="AK176" s="582"/>
      <c r="AL176" s="582"/>
      <c r="AM176" s="582"/>
      <c r="AN176" s="582"/>
      <c r="AO176" s="582"/>
      <c r="AP176" s="582"/>
      <c r="AQ176" s="582"/>
      <c r="AR176" s="582"/>
      <c r="AS176" s="582"/>
      <c r="AT176" s="582"/>
      <c r="AU176" s="582"/>
      <c r="AV176" s="582"/>
      <c r="AW176" s="582"/>
      <c r="AX176" s="582"/>
      <c r="AY176" s="582"/>
      <c r="AZ176" s="582"/>
      <c r="BA176" s="582"/>
      <c r="BB176" s="582"/>
      <c r="BC176" s="582"/>
      <c r="BD176" s="582"/>
    </row>
    <row r="177" spans="2:56" s="583" customFormat="1" x14ac:dyDescent="0.3">
      <c r="B177" s="587"/>
      <c r="C177" s="587"/>
      <c r="D177" s="584"/>
      <c r="E177" s="585"/>
      <c r="F177" s="585"/>
      <c r="G177" s="585"/>
      <c r="H177" s="585"/>
      <c r="I177" s="585"/>
      <c r="J177" s="585"/>
      <c r="K177" s="585"/>
      <c r="L177" s="585"/>
      <c r="M177" s="585"/>
      <c r="N177" s="585"/>
      <c r="O177" s="585"/>
      <c r="P177" s="586"/>
      <c r="Q177" s="576"/>
      <c r="R177" s="576"/>
      <c r="S177" s="587"/>
      <c r="U177" s="581"/>
      <c r="V177" s="581"/>
      <c r="W177" s="581" t="str">
        <f>"VAN sur "&amp;$G$41&amp;" ans - Scénario de prix ''"&amp;$G$46&amp;"'' - Taux d'actualisation de "&amp;W226&amp;"% - k€"</f>
        <v>VAN sur 20 ans - Scénario de prix ''Personnalisé'' - Taux d'actualisation de 10% - k€</v>
      </c>
      <c r="X177" s="581"/>
      <c r="Y177" s="581"/>
      <c r="Z177" s="581"/>
      <c r="AA177" s="582"/>
      <c r="AB177" s="582"/>
      <c r="AC177" s="582"/>
      <c r="AD177" s="582"/>
      <c r="AE177" s="582"/>
      <c r="AF177" s="582"/>
      <c r="AG177" s="582"/>
      <c r="AH177" s="582"/>
      <c r="AI177" s="582"/>
      <c r="AJ177" s="582"/>
      <c r="AK177" s="582"/>
      <c r="AL177" s="582"/>
      <c r="AM177" s="582"/>
      <c r="AN177" s="582"/>
      <c r="AO177" s="582"/>
      <c r="AP177" s="582"/>
      <c r="AQ177" s="582"/>
      <c r="AR177" s="582"/>
      <c r="AS177" s="582"/>
      <c r="AT177" s="582"/>
      <c r="AU177" s="582"/>
      <c r="AV177" s="582"/>
      <c r="AW177" s="582"/>
      <c r="AX177" s="582"/>
      <c r="AY177" s="582"/>
      <c r="AZ177" s="582"/>
      <c r="BA177" s="582"/>
      <c r="BB177" s="582"/>
      <c r="BC177" s="582"/>
      <c r="BD177" s="582"/>
    </row>
    <row r="178" spans="2:56" s="583" customFormat="1" x14ac:dyDescent="0.3">
      <c r="B178" s="587"/>
      <c r="C178" s="587"/>
      <c r="D178" s="584"/>
      <c r="E178" s="585"/>
      <c r="F178" s="585"/>
      <c r="G178" s="585"/>
      <c r="H178" s="585"/>
      <c r="I178" s="585"/>
      <c r="J178" s="585"/>
      <c r="K178" s="585"/>
      <c r="L178" s="585"/>
      <c r="M178" s="585"/>
      <c r="N178" s="585"/>
      <c r="O178" s="585"/>
      <c r="P178" s="586"/>
      <c r="Q178" s="576"/>
      <c r="R178" s="576"/>
      <c r="S178" s="587"/>
      <c r="U178" s="581"/>
      <c r="V178" s="581"/>
      <c r="W178" s="581"/>
      <c r="X178" s="581"/>
      <c r="Y178" s="581"/>
      <c r="Z178" s="581"/>
      <c r="AA178" s="582"/>
      <c r="AB178" s="582"/>
      <c r="AC178" s="582"/>
      <c r="AD178" s="582"/>
      <c r="AE178" s="582"/>
      <c r="AF178" s="582"/>
      <c r="AG178" s="582"/>
      <c r="AH178" s="582"/>
      <c r="AI178" s="582"/>
      <c r="AJ178" s="582"/>
      <c r="AK178" s="582"/>
      <c r="AL178" s="582"/>
      <c r="AM178" s="582"/>
      <c r="AN178" s="582"/>
      <c r="AO178" s="582"/>
      <c r="AP178" s="582"/>
      <c r="AQ178" s="582"/>
      <c r="AR178" s="582"/>
      <c r="AS178" s="582"/>
      <c r="AT178" s="582"/>
      <c r="AU178" s="582"/>
      <c r="AV178" s="582"/>
      <c r="AW178" s="582"/>
      <c r="AX178" s="582"/>
      <c r="AY178" s="582"/>
      <c r="AZ178" s="582"/>
      <c r="BA178" s="582"/>
      <c r="BB178" s="582"/>
      <c r="BC178" s="582"/>
      <c r="BD178" s="582"/>
    </row>
    <row r="179" spans="2:56" s="583" customFormat="1" x14ac:dyDescent="0.3">
      <c r="B179" s="587"/>
      <c r="C179" s="587"/>
      <c r="D179" s="584"/>
      <c r="E179" s="585"/>
      <c r="F179" s="585"/>
      <c r="G179" s="585"/>
      <c r="H179" s="585"/>
      <c r="I179" s="585"/>
      <c r="J179" s="585"/>
      <c r="K179" s="585"/>
      <c r="L179" s="585"/>
      <c r="M179" s="585"/>
      <c r="N179" s="585"/>
      <c r="O179" s="585"/>
      <c r="P179" s="586"/>
      <c r="Q179" s="576"/>
      <c r="R179" s="576"/>
      <c r="S179" s="587"/>
      <c r="U179" s="581"/>
      <c r="V179" s="581"/>
      <c r="W179" s="581"/>
      <c r="X179" s="581"/>
      <c r="Y179" s="581"/>
      <c r="Z179" s="581"/>
      <c r="AA179" s="582"/>
      <c r="AB179" s="582"/>
      <c r="AC179" s="582"/>
      <c r="AD179" s="582"/>
      <c r="AE179" s="582"/>
      <c r="AF179" s="582"/>
      <c r="AG179" s="582"/>
      <c r="AH179" s="582"/>
      <c r="AI179" s="582"/>
      <c r="AJ179" s="582"/>
      <c r="AK179" s="582"/>
      <c r="AL179" s="582"/>
      <c r="AM179" s="582"/>
      <c r="AN179" s="582"/>
      <c r="AO179" s="582"/>
      <c r="AP179" s="582"/>
      <c r="AQ179" s="582"/>
      <c r="AR179" s="582"/>
      <c r="AS179" s="582"/>
      <c r="AT179" s="582"/>
      <c r="AU179" s="582"/>
      <c r="AV179" s="582"/>
      <c r="AW179" s="582"/>
      <c r="AX179" s="582"/>
      <c r="AY179" s="582"/>
      <c r="AZ179" s="582"/>
      <c r="BA179" s="582"/>
      <c r="BB179" s="582"/>
      <c r="BC179" s="582"/>
      <c r="BD179" s="582"/>
    </row>
    <row r="180" spans="2:56" s="583" customFormat="1" x14ac:dyDescent="0.3">
      <c r="B180" s="587"/>
      <c r="C180" s="587"/>
      <c r="D180" s="584"/>
      <c r="E180" s="585"/>
      <c r="F180" s="585"/>
      <c r="G180" s="585"/>
      <c r="H180" s="585"/>
      <c r="I180" s="585"/>
      <c r="J180" s="585"/>
      <c r="K180" s="585"/>
      <c r="L180" s="585"/>
      <c r="M180" s="585"/>
      <c r="N180" s="585"/>
      <c r="O180" s="585"/>
      <c r="P180" s="586"/>
      <c r="Q180" s="576"/>
      <c r="R180" s="576"/>
      <c r="S180" s="587"/>
      <c r="U180" s="581"/>
      <c r="V180" s="581"/>
      <c r="W180" s="581"/>
      <c r="X180" s="581"/>
      <c r="Y180" s="581"/>
      <c r="Z180" s="581"/>
      <c r="AA180" s="582"/>
      <c r="AB180" s="582"/>
      <c r="AC180" s="582"/>
      <c r="AD180" s="582"/>
      <c r="AE180" s="582"/>
      <c r="AF180" s="582"/>
      <c r="AG180" s="582"/>
      <c r="AH180" s="582"/>
      <c r="AI180" s="582"/>
      <c r="AJ180" s="582"/>
      <c r="AK180" s="582"/>
      <c r="AL180" s="582"/>
      <c r="AM180" s="582"/>
      <c r="AN180" s="582"/>
      <c r="AO180" s="582"/>
      <c r="AP180" s="582"/>
      <c r="AQ180" s="582"/>
      <c r="AR180" s="582"/>
      <c r="AS180" s="582"/>
      <c r="AT180" s="582"/>
      <c r="AU180" s="582"/>
      <c r="AV180" s="582"/>
      <c r="AW180" s="582"/>
      <c r="AX180" s="582"/>
      <c r="AY180" s="582"/>
      <c r="AZ180" s="582"/>
      <c r="BA180" s="582"/>
      <c r="BB180" s="582"/>
      <c r="BC180" s="582"/>
      <c r="BD180" s="582"/>
    </row>
    <row r="181" spans="2:56" s="583" customFormat="1" x14ac:dyDescent="0.3">
      <c r="B181" s="587"/>
      <c r="C181" s="587"/>
      <c r="D181" s="584"/>
      <c r="E181" s="585"/>
      <c r="F181" s="585"/>
      <c r="G181" s="585"/>
      <c r="H181" s="585"/>
      <c r="I181" s="585"/>
      <c r="J181" s="585"/>
      <c r="K181" s="585"/>
      <c r="L181" s="585"/>
      <c r="M181" s="585"/>
      <c r="N181" s="585"/>
      <c r="O181" s="585"/>
      <c r="P181" s="586"/>
      <c r="Q181" s="576"/>
      <c r="R181" s="576"/>
      <c r="S181" s="587"/>
      <c r="U181" s="581"/>
      <c r="V181" s="581"/>
      <c r="W181" s="581"/>
      <c r="X181" s="581"/>
      <c r="Y181" s="581"/>
      <c r="Z181" s="581"/>
      <c r="AA181" s="582"/>
      <c r="AB181" s="582"/>
      <c r="AC181" s="582"/>
      <c r="AD181" s="582"/>
      <c r="AE181" s="582"/>
      <c r="AF181" s="582"/>
      <c r="AG181" s="582"/>
      <c r="AH181" s="582"/>
      <c r="AI181" s="582"/>
      <c r="AJ181" s="582"/>
      <c r="AK181" s="582"/>
      <c r="AL181" s="582"/>
      <c r="AM181" s="582"/>
      <c r="AN181" s="582"/>
      <c r="AO181" s="582"/>
      <c r="AP181" s="582"/>
      <c r="AQ181" s="582"/>
      <c r="AR181" s="582"/>
      <c r="AS181" s="582"/>
      <c r="AT181" s="582"/>
      <c r="AU181" s="582"/>
      <c r="AV181" s="582"/>
      <c r="AW181" s="582"/>
      <c r="AX181" s="582"/>
      <c r="AY181" s="582"/>
      <c r="AZ181" s="582"/>
      <c r="BA181" s="582"/>
      <c r="BB181" s="582"/>
      <c r="BC181" s="582"/>
      <c r="BD181" s="582"/>
    </row>
    <row r="182" spans="2:56" s="583" customFormat="1" x14ac:dyDescent="0.3">
      <c r="B182" s="587"/>
      <c r="C182" s="587"/>
      <c r="D182" s="584"/>
      <c r="E182" s="585"/>
      <c r="F182" s="585"/>
      <c r="G182" s="585"/>
      <c r="H182" s="585"/>
      <c r="I182" s="585"/>
      <c r="J182" s="585"/>
      <c r="K182" s="585"/>
      <c r="L182" s="585"/>
      <c r="M182" s="585"/>
      <c r="N182" s="585"/>
      <c r="O182" s="585"/>
      <c r="P182" s="586"/>
      <c r="Q182" s="576"/>
      <c r="R182" s="576"/>
      <c r="S182" s="587"/>
      <c r="U182" s="581"/>
      <c r="V182" s="581"/>
      <c r="W182" s="581"/>
      <c r="X182" s="581"/>
      <c r="Y182" s="581"/>
      <c r="Z182" s="581"/>
      <c r="AA182" s="582"/>
      <c r="AB182" s="582"/>
      <c r="AC182" s="582"/>
      <c r="AD182" s="582"/>
      <c r="AE182" s="582"/>
      <c r="AF182" s="582"/>
      <c r="AG182" s="582"/>
      <c r="AH182" s="582"/>
      <c r="AI182" s="582"/>
      <c r="AJ182" s="582"/>
      <c r="AK182" s="582"/>
      <c r="AL182" s="582"/>
      <c r="AM182" s="582"/>
      <c r="AN182" s="582"/>
      <c r="AO182" s="582"/>
      <c r="AP182" s="582"/>
      <c r="AQ182" s="582"/>
      <c r="AR182" s="582"/>
      <c r="AS182" s="582"/>
      <c r="AT182" s="582"/>
      <c r="AU182" s="582"/>
      <c r="AV182" s="582"/>
      <c r="AW182" s="582"/>
      <c r="AX182" s="582"/>
      <c r="AY182" s="582"/>
      <c r="AZ182" s="582"/>
      <c r="BA182" s="582"/>
      <c r="BB182" s="582"/>
      <c r="BC182" s="582"/>
      <c r="BD182" s="582"/>
    </row>
    <row r="183" spans="2:56" s="583" customFormat="1" x14ac:dyDescent="0.3">
      <c r="B183" s="587"/>
      <c r="C183" s="587"/>
      <c r="D183" s="584"/>
      <c r="E183" s="585"/>
      <c r="F183" s="585"/>
      <c r="G183" s="585"/>
      <c r="H183" s="585"/>
      <c r="I183" s="585"/>
      <c r="J183" s="585"/>
      <c r="K183" s="585"/>
      <c r="L183" s="585"/>
      <c r="M183" s="585"/>
      <c r="N183" s="585"/>
      <c r="O183" s="585"/>
      <c r="P183" s="586"/>
      <c r="Q183" s="576"/>
      <c r="R183" s="576"/>
      <c r="S183" s="587"/>
      <c r="U183" s="581"/>
      <c r="V183" s="581"/>
      <c r="W183" s="581"/>
      <c r="X183" s="581"/>
      <c r="Y183" s="581"/>
      <c r="Z183" s="581"/>
      <c r="AA183" s="582"/>
      <c r="AB183" s="582"/>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2"/>
      <c r="AY183" s="582"/>
      <c r="AZ183" s="582"/>
      <c r="BA183" s="582"/>
      <c r="BB183" s="582"/>
      <c r="BC183" s="582"/>
      <c r="BD183" s="582"/>
    </row>
    <row r="184" spans="2:56" s="583" customFormat="1" x14ac:dyDescent="0.3">
      <c r="B184" s="587"/>
      <c r="C184" s="587"/>
      <c r="D184" s="584"/>
      <c r="E184" s="585"/>
      <c r="F184" s="585"/>
      <c r="G184" s="585"/>
      <c r="H184" s="585"/>
      <c r="I184" s="585"/>
      <c r="J184" s="585"/>
      <c r="K184" s="585"/>
      <c r="L184" s="585"/>
      <c r="M184" s="585"/>
      <c r="N184" s="585"/>
      <c r="O184" s="585"/>
      <c r="P184" s="586"/>
      <c r="Q184" s="576"/>
      <c r="R184" s="576"/>
      <c r="S184" s="587"/>
      <c r="U184" s="581"/>
      <c r="V184" s="581"/>
      <c r="W184" s="581"/>
      <c r="X184" s="581"/>
      <c r="Y184" s="581"/>
      <c r="Z184" s="581"/>
      <c r="AA184" s="582"/>
      <c r="AB184" s="582"/>
      <c r="AC184" s="582"/>
      <c r="AD184" s="582"/>
      <c r="AE184" s="582"/>
      <c r="AF184" s="582"/>
      <c r="AG184" s="582"/>
      <c r="AH184" s="582"/>
      <c r="AI184" s="582"/>
      <c r="AJ184" s="582"/>
      <c r="AK184" s="582"/>
      <c r="AL184" s="582"/>
      <c r="AM184" s="582"/>
      <c r="AN184" s="582"/>
      <c r="AO184" s="582"/>
      <c r="AP184" s="582"/>
      <c r="AQ184" s="582"/>
      <c r="AR184" s="582"/>
      <c r="AS184" s="582"/>
      <c r="AT184" s="582"/>
      <c r="AU184" s="582"/>
      <c r="AV184" s="582"/>
      <c r="AW184" s="582"/>
      <c r="AX184" s="582"/>
      <c r="AY184" s="582"/>
      <c r="AZ184" s="582"/>
      <c r="BA184" s="582"/>
      <c r="BB184" s="582"/>
      <c r="BC184" s="582"/>
      <c r="BD184" s="582"/>
    </row>
    <row r="185" spans="2:56" s="583" customFormat="1" x14ac:dyDescent="0.3">
      <c r="B185" s="587"/>
      <c r="C185" s="587"/>
      <c r="D185" s="584"/>
      <c r="E185" s="585"/>
      <c r="F185" s="585"/>
      <c r="G185" s="585"/>
      <c r="H185" s="585"/>
      <c r="I185" s="585"/>
      <c r="J185" s="585"/>
      <c r="K185" s="585"/>
      <c r="L185" s="585"/>
      <c r="M185" s="585"/>
      <c r="N185" s="585"/>
      <c r="O185" s="585"/>
      <c r="P185" s="586"/>
      <c r="Q185" s="576"/>
      <c r="R185" s="576"/>
      <c r="S185" s="587"/>
      <c r="U185" s="581"/>
      <c r="V185" s="581"/>
      <c r="W185" s="581"/>
      <c r="X185" s="581"/>
      <c r="Y185" s="581"/>
      <c r="Z185" s="581"/>
      <c r="AA185" s="582"/>
      <c r="AB185" s="582"/>
      <c r="AC185" s="582"/>
      <c r="AD185" s="582"/>
      <c r="AE185" s="582"/>
      <c r="AF185" s="582"/>
      <c r="AG185" s="582"/>
      <c r="AH185" s="582"/>
      <c r="AI185" s="582"/>
      <c r="AJ185" s="582"/>
      <c r="AK185" s="582"/>
      <c r="AL185" s="582"/>
      <c r="AM185" s="582"/>
      <c r="AN185" s="582"/>
      <c r="AO185" s="582"/>
      <c r="AP185" s="582"/>
      <c r="AQ185" s="582"/>
      <c r="AR185" s="582"/>
      <c r="AS185" s="582"/>
      <c r="AT185" s="582"/>
      <c r="AU185" s="582"/>
      <c r="AV185" s="582"/>
      <c r="AW185" s="582"/>
      <c r="AX185" s="582"/>
      <c r="AY185" s="582"/>
      <c r="AZ185" s="582"/>
      <c r="BA185" s="582"/>
      <c r="BB185" s="582"/>
      <c r="BC185" s="582"/>
      <c r="BD185" s="582"/>
    </row>
    <row r="186" spans="2:56" s="583" customFormat="1" x14ac:dyDescent="0.3">
      <c r="B186" s="587"/>
      <c r="C186" s="587"/>
      <c r="D186" s="584"/>
      <c r="E186" s="585"/>
      <c r="F186" s="585"/>
      <c r="G186" s="585"/>
      <c r="H186" s="585"/>
      <c r="I186" s="585"/>
      <c r="J186" s="585"/>
      <c r="K186" s="585"/>
      <c r="L186" s="585"/>
      <c r="M186" s="585"/>
      <c r="N186" s="585"/>
      <c r="O186" s="585"/>
      <c r="P186" s="586"/>
      <c r="Q186" s="576"/>
      <c r="R186" s="576"/>
      <c r="S186" s="587"/>
      <c r="U186" s="581"/>
      <c r="V186" s="581"/>
      <c r="W186" s="581"/>
      <c r="X186" s="581"/>
      <c r="Y186" s="581"/>
      <c r="Z186" s="581"/>
      <c r="AA186" s="582"/>
      <c r="AB186" s="582"/>
      <c r="AC186" s="582"/>
      <c r="AD186" s="582"/>
      <c r="AE186" s="582"/>
      <c r="AF186" s="582"/>
      <c r="AG186" s="582"/>
      <c r="AH186" s="582"/>
      <c r="AI186" s="582"/>
      <c r="AJ186" s="582"/>
      <c r="AK186" s="582"/>
      <c r="AL186" s="582"/>
      <c r="AM186" s="582"/>
      <c r="AN186" s="582"/>
      <c r="AO186" s="582"/>
      <c r="AP186" s="582"/>
      <c r="AQ186" s="582"/>
      <c r="AR186" s="582"/>
      <c r="AS186" s="582"/>
      <c r="AT186" s="582"/>
      <c r="AU186" s="582"/>
      <c r="AV186" s="582"/>
      <c r="AW186" s="582"/>
      <c r="AX186" s="582"/>
      <c r="AY186" s="582"/>
      <c r="AZ186" s="582"/>
      <c r="BA186" s="582"/>
      <c r="BB186" s="582"/>
      <c r="BC186" s="582"/>
      <c r="BD186" s="582"/>
    </row>
    <row r="187" spans="2:56" s="583" customFormat="1" x14ac:dyDescent="0.3">
      <c r="B187" s="587"/>
      <c r="C187" s="587"/>
      <c r="D187" s="584"/>
      <c r="E187" s="585"/>
      <c r="F187" s="585"/>
      <c r="G187" s="585"/>
      <c r="H187" s="585"/>
      <c r="I187" s="585"/>
      <c r="J187" s="585"/>
      <c r="K187" s="585"/>
      <c r="L187" s="585"/>
      <c r="M187" s="585"/>
      <c r="N187" s="585"/>
      <c r="O187" s="585"/>
      <c r="P187" s="586"/>
      <c r="Q187" s="576"/>
      <c r="R187" s="576"/>
      <c r="S187" s="587"/>
      <c r="U187" s="581"/>
      <c r="V187" s="581"/>
      <c r="W187" s="581"/>
      <c r="X187" s="581"/>
      <c r="Y187" s="581"/>
      <c r="Z187" s="581"/>
      <c r="AA187" s="582"/>
      <c r="AB187" s="582"/>
      <c r="AC187" s="582"/>
      <c r="AD187" s="582"/>
      <c r="AE187" s="582"/>
      <c r="AF187" s="582"/>
      <c r="AG187" s="582"/>
      <c r="AH187" s="582"/>
      <c r="AI187" s="582"/>
      <c r="AJ187" s="582"/>
      <c r="AK187" s="582"/>
      <c r="AL187" s="582"/>
      <c r="AM187" s="582"/>
      <c r="AN187" s="582"/>
      <c r="AO187" s="582"/>
      <c r="AP187" s="582"/>
      <c r="AQ187" s="582"/>
      <c r="AR187" s="582"/>
      <c r="AS187" s="582"/>
      <c r="AT187" s="582"/>
      <c r="AU187" s="582"/>
      <c r="AV187" s="582"/>
      <c r="AW187" s="582"/>
      <c r="AX187" s="582"/>
      <c r="AY187" s="582"/>
      <c r="AZ187" s="582"/>
      <c r="BA187" s="582"/>
      <c r="BB187" s="582"/>
      <c r="BC187" s="582"/>
      <c r="BD187" s="582"/>
    </row>
    <row r="188" spans="2:56" s="583" customFormat="1" x14ac:dyDescent="0.3">
      <c r="B188" s="587"/>
      <c r="C188" s="587"/>
      <c r="D188" s="584"/>
      <c r="E188" s="585"/>
      <c r="F188" s="585"/>
      <c r="G188" s="585"/>
      <c r="H188" s="585"/>
      <c r="I188" s="585"/>
      <c r="J188" s="585"/>
      <c r="K188" s="585"/>
      <c r="L188" s="585"/>
      <c r="M188" s="585"/>
      <c r="N188" s="585"/>
      <c r="O188" s="585"/>
      <c r="P188" s="586"/>
      <c r="Q188" s="576"/>
      <c r="R188" s="576"/>
      <c r="S188" s="587"/>
      <c r="U188" s="581"/>
      <c r="V188" s="581"/>
      <c r="W188" s="581"/>
      <c r="X188" s="581"/>
      <c r="Y188" s="581"/>
      <c r="Z188" s="581"/>
      <c r="AA188" s="582"/>
      <c r="AB188" s="582"/>
      <c r="AC188" s="582"/>
      <c r="AD188" s="582"/>
      <c r="AE188" s="582"/>
      <c r="AF188" s="582"/>
      <c r="AG188" s="582"/>
      <c r="AH188" s="582"/>
      <c r="AI188" s="582"/>
      <c r="AJ188" s="582"/>
      <c r="AK188" s="582"/>
      <c r="AL188" s="582"/>
      <c r="AM188" s="582"/>
      <c r="AN188" s="582"/>
      <c r="AO188" s="582"/>
      <c r="AP188" s="582"/>
      <c r="AQ188" s="582"/>
      <c r="AR188" s="582"/>
      <c r="AS188" s="582"/>
      <c r="AT188" s="582"/>
      <c r="AU188" s="582"/>
      <c r="AV188" s="582"/>
      <c r="AW188" s="582"/>
      <c r="AX188" s="582"/>
      <c r="AY188" s="582"/>
      <c r="AZ188" s="582"/>
      <c r="BA188" s="582"/>
      <c r="BB188" s="582"/>
      <c r="BC188" s="582"/>
      <c r="BD188" s="582"/>
    </row>
    <row r="189" spans="2:56" s="583" customFormat="1" x14ac:dyDescent="0.3">
      <c r="B189" s="587"/>
      <c r="C189" s="587"/>
      <c r="D189" s="584"/>
      <c r="E189" s="585"/>
      <c r="F189" s="585"/>
      <c r="G189" s="585"/>
      <c r="H189" s="585"/>
      <c r="I189" s="585"/>
      <c r="J189" s="585"/>
      <c r="K189" s="585"/>
      <c r="L189" s="585"/>
      <c r="M189" s="585"/>
      <c r="N189" s="585"/>
      <c r="O189" s="585"/>
      <c r="P189" s="586"/>
      <c r="Q189" s="576"/>
      <c r="R189" s="576"/>
      <c r="S189" s="587"/>
      <c r="U189" s="581"/>
      <c r="V189" s="581"/>
      <c r="W189" s="581"/>
      <c r="X189" s="581"/>
      <c r="Y189" s="581"/>
      <c r="Z189" s="581"/>
      <c r="AA189" s="582"/>
      <c r="AB189" s="582"/>
      <c r="AC189" s="582"/>
      <c r="AD189" s="582"/>
      <c r="AE189" s="582"/>
      <c r="AF189" s="582"/>
      <c r="AG189" s="582"/>
      <c r="AH189" s="582"/>
      <c r="AI189" s="582"/>
      <c r="AJ189" s="582"/>
      <c r="AK189" s="582"/>
      <c r="AL189" s="582"/>
      <c r="AM189" s="582"/>
      <c r="AN189" s="582"/>
      <c r="AO189" s="582"/>
      <c r="AP189" s="582"/>
      <c r="AQ189" s="582"/>
      <c r="AR189" s="582"/>
      <c r="AS189" s="582"/>
      <c r="AT189" s="582"/>
      <c r="AU189" s="582"/>
      <c r="AV189" s="582"/>
      <c r="AW189" s="582"/>
      <c r="AX189" s="582"/>
      <c r="AY189" s="582"/>
      <c r="AZ189" s="582"/>
      <c r="BA189" s="582"/>
      <c r="BB189" s="582"/>
      <c r="BC189" s="582"/>
      <c r="BD189" s="582"/>
    </row>
    <row r="190" spans="2:56" s="583" customFormat="1" x14ac:dyDescent="0.3">
      <c r="B190" s="587"/>
      <c r="C190" s="587"/>
      <c r="D190" s="584"/>
      <c r="E190" s="585"/>
      <c r="F190" s="585"/>
      <c r="G190" s="585"/>
      <c r="H190" s="585"/>
      <c r="I190" s="585"/>
      <c r="J190" s="585"/>
      <c r="K190" s="585"/>
      <c r="L190" s="585"/>
      <c r="M190" s="585"/>
      <c r="N190" s="585"/>
      <c r="O190" s="585"/>
      <c r="P190" s="586"/>
      <c r="Q190" s="576"/>
      <c r="R190" s="576"/>
      <c r="S190" s="587"/>
      <c r="U190" s="581"/>
      <c r="V190" s="581"/>
      <c r="W190" s="581"/>
      <c r="X190" s="581"/>
      <c r="Y190" s="581"/>
      <c r="Z190" s="581"/>
      <c r="AA190" s="582"/>
      <c r="AB190" s="582"/>
      <c r="AC190" s="582"/>
      <c r="AD190" s="582"/>
      <c r="AE190" s="582"/>
      <c r="AF190" s="582"/>
      <c r="AG190" s="582"/>
      <c r="AH190" s="582"/>
      <c r="AI190" s="582"/>
      <c r="AJ190" s="582"/>
      <c r="AK190" s="582"/>
      <c r="AL190" s="582"/>
      <c r="AM190" s="582"/>
      <c r="AN190" s="582"/>
      <c r="AO190" s="582"/>
      <c r="AP190" s="582"/>
      <c r="AQ190" s="582"/>
      <c r="AR190" s="582"/>
      <c r="AS190" s="582"/>
      <c r="AT190" s="582"/>
      <c r="AU190" s="582"/>
      <c r="AV190" s="582"/>
      <c r="AW190" s="582"/>
      <c r="AX190" s="582"/>
      <c r="AY190" s="582"/>
      <c r="AZ190" s="582"/>
      <c r="BA190" s="582"/>
      <c r="BB190" s="582"/>
      <c r="BC190" s="582"/>
      <c r="BD190" s="582"/>
    </row>
    <row r="191" spans="2:56" s="583" customFormat="1" x14ac:dyDescent="0.3">
      <c r="B191" s="587"/>
      <c r="C191" s="587"/>
      <c r="D191" s="584"/>
      <c r="E191" s="585"/>
      <c r="F191" s="585"/>
      <c r="G191" s="585"/>
      <c r="H191" s="585"/>
      <c r="I191" s="585"/>
      <c r="J191" s="585"/>
      <c r="K191" s="585"/>
      <c r="L191" s="585"/>
      <c r="M191" s="585"/>
      <c r="N191" s="585"/>
      <c r="O191" s="585"/>
      <c r="P191" s="586"/>
      <c r="Q191" s="576"/>
      <c r="R191" s="576"/>
      <c r="S191" s="587"/>
      <c r="U191" s="581"/>
      <c r="V191" s="581"/>
      <c r="W191" s="581"/>
      <c r="X191" s="581"/>
      <c r="Y191" s="581"/>
      <c r="Z191" s="581"/>
      <c r="AA191" s="582"/>
      <c r="AB191" s="582"/>
      <c r="AC191" s="582"/>
      <c r="AD191" s="582"/>
      <c r="AE191" s="582"/>
      <c r="AF191" s="582"/>
      <c r="AG191" s="582"/>
      <c r="AH191" s="582"/>
      <c r="AI191" s="582"/>
      <c r="AJ191" s="582"/>
      <c r="AK191" s="582"/>
      <c r="AL191" s="582"/>
      <c r="AM191" s="582"/>
      <c r="AN191" s="582"/>
      <c r="AO191" s="582"/>
      <c r="AP191" s="582"/>
      <c r="AQ191" s="582"/>
      <c r="AR191" s="582"/>
      <c r="AS191" s="582"/>
      <c r="AT191" s="582"/>
      <c r="AU191" s="582"/>
      <c r="AV191" s="582"/>
      <c r="AW191" s="582"/>
      <c r="AX191" s="582"/>
      <c r="AY191" s="582"/>
      <c r="AZ191" s="582"/>
      <c r="BA191" s="582"/>
      <c r="BB191" s="582"/>
      <c r="BC191" s="582"/>
      <c r="BD191" s="582"/>
    </row>
    <row r="192" spans="2:56" s="583" customFormat="1" x14ac:dyDescent="0.3">
      <c r="B192" s="587"/>
      <c r="C192" s="587"/>
      <c r="D192" s="584"/>
      <c r="E192" s="585"/>
      <c r="F192" s="585"/>
      <c r="G192" s="585"/>
      <c r="H192" s="585"/>
      <c r="I192" s="585"/>
      <c r="J192" s="585"/>
      <c r="K192" s="585"/>
      <c r="L192" s="585"/>
      <c r="M192" s="585"/>
      <c r="N192" s="585"/>
      <c r="O192" s="585"/>
      <c r="P192" s="586"/>
      <c r="Q192" s="576"/>
      <c r="R192" s="576"/>
      <c r="S192" s="587"/>
      <c r="U192" s="581"/>
      <c r="V192" s="581"/>
      <c r="W192" s="581"/>
      <c r="X192" s="581"/>
      <c r="Y192" s="581"/>
      <c r="Z192" s="581"/>
      <c r="AA192" s="582"/>
      <c r="AB192" s="582"/>
      <c r="AC192" s="582"/>
      <c r="AD192" s="582"/>
      <c r="AE192" s="582"/>
      <c r="AF192" s="582"/>
      <c r="AG192" s="582"/>
      <c r="AH192" s="582"/>
      <c r="AI192" s="582"/>
      <c r="AJ192" s="582"/>
      <c r="AK192" s="582"/>
      <c r="AL192" s="582"/>
      <c r="AM192" s="582"/>
      <c r="AN192" s="582"/>
      <c r="AO192" s="582"/>
      <c r="AP192" s="582"/>
      <c r="AQ192" s="582"/>
      <c r="AR192" s="582"/>
      <c r="AS192" s="582"/>
      <c r="AT192" s="582"/>
      <c r="AU192" s="582"/>
      <c r="AV192" s="582"/>
      <c r="AW192" s="582"/>
      <c r="AX192" s="582"/>
      <c r="AY192" s="582"/>
      <c r="AZ192" s="582"/>
      <c r="BA192" s="582"/>
      <c r="BB192" s="582"/>
      <c r="BC192" s="582"/>
      <c r="BD192" s="582"/>
    </row>
    <row r="193" spans="2:56" s="583" customFormat="1" x14ac:dyDescent="0.3">
      <c r="B193" s="587"/>
      <c r="C193" s="587"/>
      <c r="D193" s="584"/>
      <c r="E193" s="585"/>
      <c r="F193" s="585"/>
      <c r="G193" s="585"/>
      <c r="H193" s="585"/>
      <c r="I193" s="585"/>
      <c r="J193" s="585"/>
      <c r="K193" s="585"/>
      <c r="L193" s="585"/>
      <c r="M193" s="585"/>
      <c r="N193" s="585"/>
      <c r="O193" s="585"/>
      <c r="P193" s="586"/>
      <c r="Q193" s="576"/>
      <c r="R193" s="576"/>
      <c r="S193" s="587"/>
      <c r="U193" s="581"/>
      <c r="V193" s="581"/>
      <c r="W193" s="581"/>
      <c r="X193" s="581"/>
      <c r="Y193" s="581"/>
      <c r="Z193" s="581"/>
      <c r="AA193" s="582"/>
      <c r="AB193" s="582"/>
      <c r="AC193" s="582"/>
      <c r="AD193" s="582"/>
      <c r="AE193" s="582"/>
      <c r="AF193" s="582"/>
      <c r="AG193" s="582"/>
      <c r="AH193" s="582"/>
      <c r="AI193" s="582"/>
      <c r="AJ193" s="582"/>
      <c r="AK193" s="582"/>
      <c r="AL193" s="582"/>
      <c r="AM193" s="582"/>
      <c r="AN193" s="582"/>
      <c r="AO193" s="582"/>
      <c r="AP193" s="582"/>
      <c r="AQ193" s="582"/>
      <c r="AR193" s="582"/>
      <c r="AS193" s="582"/>
      <c r="AT193" s="582"/>
      <c r="AU193" s="582"/>
      <c r="AV193" s="582"/>
      <c r="AW193" s="582"/>
      <c r="AX193" s="582"/>
      <c r="AY193" s="582"/>
      <c r="AZ193" s="582"/>
      <c r="BA193" s="582"/>
      <c r="BB193" s="582"/>
      <c r="BC193" s="582"/>
      <c r="BD193" s="582"/>
    </row>
    <row r="194" spans="2:56" s="583" customFormat="1" x14ac:dyDescent="0.3">
      <c r="B194" s="587"/>
      <c r="C194" s="587"/>
      <c r="D194" s="584"/>
      <c r="E194" s="585"/>
      <c r="F194" s="585"/>
      <c r="G194" s="585"/>
      <c r="H194" s="585"/>
      <c r="I194" s="585"/>
      <c r="J194" s="585"/>
      <c r="K194" s="585"/>
      <c r="L194" s="585"/>
      <c r="M194" s="585"/>
      <c r="N194" s="585"/>
      <c r="O194" s="585"/>
      <c r="P194" s="586"/>
      <c r="Q194" s="576"/>
      <c r="R194" s="576"/>
      <c r="S194" s="587"/>
      <c r="U194" s="581"/>
      <c r="V194" s="581"/>
      <c r="W194" s="581"/>
      <c r="X194" s="581"/>
      <c r="Y194" s="581"/>
      <c r="Z194" s="581"/>
      <c r="AA194" s="582"/>
      <c r="AB194" s="582"/>
      <c r="AC194" s="582"/>
      <c r="AD194" s="582"/>
      <c r="AE194" s="582"/>
      <c r="AF194" s="582"/>
      <c r="AG194" s="582"/>
      <c r="AH194" s="582"/>
      <c r="AI194" s="582"/>
      <c r="AJ194" s="582"/>
      <c r="AK194" s="582"/>
      <c r="AL194" s="582"/>
      <c r="AM194" s="582"/>
      <c r="AN194" s="582"/>
      <c r="AO194" s="582"/>
      <c r="AP194" s="582"/>
      <c r="AQ194" s="582"/>
      <c r="AR194" s="582"/>
      <c r="AS194" s="582"/>
      <c r="AT194" s="582"/>
      <c r="AU194" s="582"/>
      <c r="AV194" s="582"/>
      <c r="AW194" s="582"/>
      <c r="AX194" s="582"/>
      <c r="AY194" s="582"/>
      <c r="AZ194" s="582"/>
      <c r="BA194" s="582"/>
      <c r="BB194" s="582"/>
      <c r="BC194" s="582"/>
      <c r="BD194" s="582"/>
    </row>
    <row r="195" spans="2:56" s="583" customFormat="1" x14ac:dyDescent="0.3">
      <c r="B195" s="587"/>
      <c r="C195" s="587"/>
      <c r="D195" s="584"/>
      <c r="E195" s="585"/>
      <c r="F195" s="585"/>
      <c r="G195" s="585"/>
      <c r="H195" s="585"/>
      <c r="I195" s="585"/>
      <c r="J195" s="585"/>
      <c r="K195" s="585"/>
      <c r="L195" s="585"/>
      <c r="M195" s="585"/>
      <c r="N195" s="585"/>
      <c r="O195" s="585"/>
      <c r="P195" s="586"/>
      <c r="Q195" s="576"/>
      <c r="R195" s="576"/>
      <c r="S195" s="587"/>
      <c r="U195" s="581"/>
      <c r="V195" s="581"/>
      <c r="W195" s="581"/>
      <c r="X195" s="581"/>
      <c r="Y195" s="581"/>
      <c r="Z195" s="581"/>
      <c r="AA195" s="582"/>
      <c r="AB195" s="582"/>
      <c r="AC195" s="582"/>
      <c r="AD195" s="582"/>
      <c r="AE195" s="582"/>
      <c r="AF195" s="582"/>
      <c r="AG195" s="582"/>
      <c r="AH195" s="582"/>
      <c r="AI195" s="582"/>
      <c r="AJ195" s="582"/>
      <c r="AK195" s="582"/>
      <c r="AL195" s="582"/>
      <c r="AM195" s="582"/>
      <c r="AN195" s="582"/>
      <c r="AO195" s="582"/>
      <c r="AP195" s="582"/>
      <c r="AQ195" s="582"/>
      <c r="AR195" s="582"/>
      <c r="AS195" s="582"/>
      <c r="AT195" s="582"/>
      <c r="AU195" s="582"/>
      <c r="AV195" s="582"/>
      <c r="AW195" s="582"/>
      <c r="AX195" s="582"/>
      <c r="AY195" s="582"/>
      <c r="AZ195" s="582"/>
      <c r="BA195" s="582"/>
      <c r="BB195" s="582"/>
      <c r="BC195" s="582"/>
      <c r="BD195" s="582"/>
    </row>
    <row r="196" spans="2:56" s="583" customFormat="1" x14ac:dyDescent="0.3">
      <c r="B196" s="587"/>
      <c r="C196" s="587"/>
      <c r="D196" s="584"/>
      <c r="E196" s="585"/>
      <c r="F196" s="585"/>
      <c r="G196" s="585"/>
      <c r="H196" s="585"/>
      <c r="I196" s="585"/>
      <c r="J196" s="585"/>
      <c r="K196" s="585"/>
      <c r="L196" s="585"/>
      <c r="M196" s="585"/>
      <c r="N196" s="585"/>
      <c r="O196" s="585"/>
      <c r="P196" s="586"/>
      <c r="Q196" s="576"/>
      <c r="R196" s="576"/>
      <c r="S196" s="587"/>
      <c r="U196" s="581"/>
      <c r="V196" s="581"/>
      <c r="W196" s="581"/>
      <c r="X196" s="581"/>
      <c r="Y196" s="581"/>
      <c r="Z196" s="581"/>
      <c r="AA196" s="582"/>
      <c r="AB196" s="582"/>
      <c r="AC196" s="582"/>
      <c r="AD196" s="582"/>
      <c r="AE196" s="582"/>
      <c r="AF196" s="582"/>
      <c r="AG196" s="582"/>
      <c r="AH196" s="582"/>
      <c r="AI196" s="582"/>
      <c r="AJ196" s="582"/>
      <c r="AK196" s="582"/>
      <c r="AL196" s="582"/>
      <c r="AM196" s="582"/>
      <c r="AN196" s="582"/>
      <c r="AO196" s="582"/>
      <c r="AP196" s="582"/>
      <c r="AQ196" s="582"/>
      <c r="AR196" s="582"/>
      <c r="AS196" s="582"/>
      <c r="AT196" s="582"/>
      <c r="AU196" s="582"/>
      <c r="AV196" s="582"/>
      <c r="AW196" s="582"/>
      <c r="AX196" s="582"/>
      <c r="AY196" s="582"/>
      <c r="AZ196" s="582"/>
      <c r="BA196" s="582"/>
      <c r="BB196" s="582"/>
      <c r="BC196" s="582"/>
      <c r="BD196" s="582"/>
    </row>
    <row r="197" spans="2:56" s="583" customFormat="1" x14ac:dyDescent="0.3">
      <c r="B197" s="587"/>
      <c r="C197" s="587"/>
      <c r="D197" s="584"/>
      <c r="E197" s="585"/>
      <c r="F197" s="585"/>
      <c r="G197" s="585"/>
      <c r="H197" s="585"/>
      <c r="I197" s="585"/>
      <c r="J197" s="585"/>
      <c r="K197" s="585"/>
      <c r="L197" s="585"/>
      <c r="M197" s="585"/>
      <c r="N197" s="585"/>
      <c r="O197" s="585"/>
      <c r="P197" s="586"/>
      <c r="Q197" s="576"/>
      <c r="R197" s="576"/>
      <c r="S197" s="587"/>
      <c r="U197" s="581"/>
      <c r="V197" s="581"/>
      <c r="W197" s="581"/>
      <c r="X197" s="581"/>
      <c r="Y197" s="581"/>
      <c r="Z197" s="581"/>
      <c r="AA197" s="582"/>
      <c r="AB197" s="582"/>
      <c r="AC197" s="582"/>
      <c r="AD197" s="582"/>
      <c r="AE197" s="582"/>
      <c r="AF197" s="582"/>
      <c r="AG197" s="582"/>
      <c r="AH197" s="582"/>
      <c r="AI197" s="582"/>
      <c r="AJ197" s="582"/>
      <c r="AK197" s="582"/>
      <c r="AL197" s="582"/>
      <c r="AM197" s="582"/>
      <c r="AN197" s="582"/>
      <c r="AO197" s="582"/>
      <c r="AP197" s="582"/>
      <c r="AQ197" s="582"/>
      <c r="AR197" s="582"/>
      <c r="AS197" s="582"/>
      <c r="AT197" s="582"/>
      <c r="AU197" s="582"/>
      <c r="AV197" s="582"/>
      <c r="AW197" s="582"/>
      <c r="AX197" s="582"/>
      <c r="AY197" s="582"/>
      <c r="AZ197" s="582"/>
      <c r="BA197" s="582"/>
      <c r="BB197" s="582"/>
      <c r="BC197" s="582"/>
      <c r="BD197" s="582"/>
    </row>
    <row r="198" spans="2:56" s="583" customFormat="1" x14ac:dyDescent="0.3">
      <c r="B198" s="587"/>
      <c r="C198" s="587"/>
      <c r="D198" s="598"/>
      <c r="E198" s="599"/>
      <c r="F198" s="599"/>
      <c r="G198" s="599"/>
      <c r="H198" s="599"/>
      <c r="I198" s="599"/>
      <c r="J198" s="599"/>
      <c r="K198" s="599"/>
      <c r="L198" s="599"/>
      <c r="M198" s="599"/>
      <c r="N198" s="599"/>
      <c r="O198" s="599"/>
      <c r="P198" s="600"/>
      <c r="Q198" s="576"/>
      <c r="R198" s="576"/>
      <c r="S198" s="587"/>
      <c r="U198" s="581"/>
      <c r="V198" s="581"/>
      <c r="W198" s="581"/>
      <c r="X198" s="581"/>
      <c r="Y198" s="581"/>
      <c r="Z198" s="581"/>
      <c r="AA198" s="582"/>
      <c r="AB198" s="582"/>
      <c r="AC198" s="582"/>
      <c r="AD198" s="582"/>
      <c r="AE198" s="582"/>
      <c r="AF198" s="582"/>
      <c r="AG198" s="582"/>
      <c r="AH198" s="582"/>
      <c r="AI198" s="582"/>
      <c r="AJ198" s="582"/>
      <c r="AK198" s="582"/>
      <c r="AL198" s="582"/>
      <c r="AM198" s="582"/>
      <c r="AN198" s="582"/>
      <c r="AO198" s="582"/>
      <c r="AP198" s="582"/>
      <c r="AQ198" s="582"/>
      <c r="AR198" s="582"/>
      <c r="AS198" s="582"/>
      <c r="AT198" s="582"/>
      <c r="AU198" s="582"/>
      <c r="AV198" s="582"/>
      <c r="AW198" s="582"/>
      <c r="AX198" s="582"/>
      <c r="AY198" s="582"/>
      <c r="AZ198" s="582"/>
      <c r="BA198" s="582"/>
      <c r="BB198" s="582"/>
      <c r="BC198" s="582"/>
      <c r="BD198" s="582"/>
    </row>
    <row r="199" spans="2:56" s="583" customFormat="1" x14ac:dyDescent="0.3">
      <c r="B199" s="587"/>
      <c r="C199" s="587"/>
      <c r="D199" s="576"/>
      <c r="E199" s="576"/>
      <c r="F199" s="576"/>
      <c r="G199" s="576"/>
      <c r="H199" s="576"/>
      <c r="I199" s="576"/>
      <c r="J199" s="576"/>
      <c r="K199" s="576"/>
      <c r="L199" s="576"/>
      <c r="M199" s="576"/>
      <c r="N199" s="576"/>
      <c r="O199" s="576"/>
      <c r="P199" s="576"/>
      <c r="Q199" s="576"/>
      <c r="R199" s="576"/>
      <c r="S199" s="587"/>
      <c r="T199" s="587"/>
      <c r="U199" s="587"/>
      <c r="V199" s="581"/>
      <c r="W199" s="581"/>
      <c r="X199" s="581"/>
      <c r="Y199" s="581"/>
      <c r="Z199" s="581"/>
      <c r="AA199" s="582"/>
      <c r="AB199" s="582"/>
      <c r="AC199" s="582"/>
      <c r="AD199" s="582"/>
      <c r="AE199" s="582"/>
      <c r="AF199" s="582"/>
      <c r="AG199" s="582"/>
      <c r="AH199" s="582"/>
      <c r="AI199" s="582"/>
      <c r="AJ199" s="582"/>
      <c r="AK199" s="582"/>
      <c r="AL199" s="582"/>
      <c r="AM199" s="582"/>
      <c r="AN199" s="582"/>
      <c r="AO199" s="582"/>
      <c r="AP199" s="582"/>
      <c r="AQ199" s="582"/>
      <c r="AR199" s="582"/>
      <c r="AS199" s="582"/>
      <c r="AT199" s="582"/>
      <c r="AU199" s="582"/>
      <c r="AV199" s="582"/>
      <c r="AW199" s="582"/>
      <c r="AX199" s="582"/>
      <c r="AY199" s="582"/>
      <c r="AZ199" s="582"/>
      <c r="BA199" s="582"/>
      <c r="BB199" s="582"/>
      <c r="BC199" s="582"/>
      <c r="BD199" s="582"/>
    </row>
    <row r="200" spans="2:56" s="583" customFormat="1" ht="18" x14ac:dyDescent="0.4">
      <c r="B200" s="587"/>
      <c r="C200" s="587"/>
      <c r="D200" s="577"/>
      <c r="E200" s="578" t="s">
        <v>337</v>
      </c>
      <c r="F200" s="578"/>
      <c r="G200" s="579"/>
      <c r="H200" s="579"/>
      <c r="I200" s="579"/>
      <c r="J200" s="579"/>
      <c r="K200" s="579"/>
      <c r="L200" s="579"/>
      <c r="M200" s="579"/>
      <c r="N200" s="579"/>
      <c r="O200" s="579"/>
      <c r="P200" s="580"/>
      <c r="Q200" s="576"/>
      <c r="R200" s="576"/>
      <c r="S200" s="587"/>
      <c r="T200" s="581"/>
      <c r="U200" s="581"/>
      <c r="V200" s="581"/>
      <c r="W200" s="581"/>
      <c r="X200" s="581"/>
      <c r="Y200" s="581"/>
      <c r="Z200" s="581"/>
      <c r="AA200" s="582"/>
      <c r="AB200" s="582"/>
      <c r="AC200" s="582"/>
      <c r="AD200" s="582"/>
      <c r="AE200" s="582"/>
      <c r="AF200" s="582"/>
      <c r="AG200" s="582"/>
      <c r="AH200" s="582"/>
      <c r="AI200" s="582"/>
      <c r="AJ200" s="582"/>
      <c r="AK200" s="582"/>
      <c r="AL200" s="582"/>
      <c r="AM200" s="582"/>
      <c r="AN200" s="582"/>
      <c r="AO200" s="582"/>
      <c r="AP200" s="582"/>
      <c r="AQ200" s="582"/>
      <c r="AR200" s="582"/>
      <c r="AS200" s="582"/>
      <c r="AT200" s="582"/>
      <c r="AU200" s="582"/>
      <c r="AV200" s="582"/>
      <c r="AW200" s="582"/>
      <c r="AX200" s="582"/>
      <c r="AY200" s="582"/>
      <c r="AZ200" s="582"/>
      <c r="BA200" s="582"/>
      <c r="BB200" s="582"/>
      <c r="BC200" s="582"/>
      <c r="BD200" s="582"/>
    </row>
    <row r="201" spans="2:56" s="583" customFormat="1" ht="14.5" thickBot="1" x14ac:dyDescent="0.35">
      <c r="B201" s="587"/>
      <c r="C201" s="587"/>
      <c r="D201" s="621"/>
      <c r="E201" s="614"/>
      <c r="F201" s="614"/>
      <c r="G201" s="614"/>
      <c r="H201" s="614"/>
      <c r="I201" s="614"/>
      <c r="J201" s="614"/>
      <c r="K201" s="614"/>
      <c r="L201" s="614"/>
      <c r="M201" s="614"/>
      <c r="N201" s="614"/>
      <c r="O201" s="614"/>
      <c r="P201" s="622"/>
      <c r="Q201" s="587"/>
      <c r="R201" s="587"/>
      <c r="S201" s="587"/>
      <c r="T201" s="581"/>
      <c r="U201" s="581"/>
      <c r="V201" s="581"/>
      <c r="W201" s="581"/>
      <c r="X201" s="581"/>
      <c r="Y201" s="581"/>
      <c r="Z201" s="581"/>
      <c r="AA201" s="582"/>
      <c r="AB201" s="582"/>
      <c r="AC201" s="582"/>
      <c r="AD201" s="582"/>
      <c r="AE201" s="582"/>
      <c r="AF201" s="582"/>
      <c r="AG201" s="582"/>
      <c r="AH201" s="582"/>
      <c r="AI201" s="582"/>
      <c r="AJ201" s="582"/>
      <c r="AK201" s="582"/>
      <c r="AL201" s="582"/>
      <c r="AM201" s="582"/>
      <c r="AN201" s="582"/>
      <c r="AO201" s="582"/>
      <c r="AP201" s="582"/>
      <c r="AQ201" s="582"/>
      <c r="AR201" s="582"/>
      <c r="AS201" s="582"/>
      <c r="AT201" s="582"/>
      <c r="AU201" s="582"/>
      <c r="AV201" s="582"/>
      <c r="AW201" s="582"/>
      <c r="AX201" s="582"/>
      <c r="AY201" s="582"/>
      <c r="AZ201" s="582"/>
      <c r="BA201" s="582"/>
      <c r="BB201" s="582"/>
      <c r="BC201" s="582"/>
      <c r="BD201" s="582"/>
    </row>
    <row r="202" spans="2:56" s="583" customFormat="1" ht="26.5" customHeight="1" x14ac:dyDescent="0.3">
      <c r="B202" s="587"/>
      <c r="C202" s="587"/>
      <c r="D202" s="621"/>
      <c r="E202" s="778" t="s">
        <v>316</v>
      </c>
      <c r="F202" s="779"/>
      <c r="G202" s="623" t="s">
        <v>118</v>
      </c>
      <c r="H202" s="614"/>
      <c r="I202" s="614"/>
      <c r="J202" s="614"/>
      <c r="K202" s="614"/>
      <c r="L202" s="614"/>
      <c r="M202" s="614"/>
      <c r="N202" s="614"/>
      <c r="O202" s="614"/>
      <c r="P202" s="622"/>
      <c r="Q202" s="587"/>
      <c r="R202" s="587"/>
      <c r="S202" s="587"/>
      <c r="T202" s="581"/>
      <c r="U202" s="581"/>
      <c r="V202" s="581"/>
      <c r="W202" s="581"/>
      <c r="X202" s="581"/>
      <c r="Y202" s="581"/>
      <c r="Z202" s="581"/>
      <c r="AA202" s="582"/>
      <c r="AB202" s="582"/>
      <c r="AC202" s="582"/>
      <c r="AD202" s="582"/>
      <c r="AE202" s="582"/>
      <c r="AF202" s="582"/>
      <c r="AG202" s="582"/>
      <c r="AH202" s="582"/>
      <c r="AI202" s="582"/>
      <c r="AJ202" s="582"/>
      <c r="AK202" s="582"/>
      <c r="AL202" s="582"/>
      <c r="AM202" s="582"/>
      <c r="AN202" s="582"/>
      <c r="AO202" s="582"/>
      <c r="AP202" s="582"/>
      <c r="AQ202" s="582"/>
      <c r="AR202" s="582"/>
      <c r="AS202" s="582"/>
      <c r="AT202" s="582"/>
      <c r="AU202" s="582"/>
      <c r="AV202" s="582"/>
      <c r="AW202" s="582"/>
      <c r="AX202" s="582"/>
      <c r="AY202" s="582"/>
      <c r="AZ202" s="582"/>
      <c r="BA202" s="582"/>
      <c r="BB202" s="582"/>
      <c r="BC202" s="582"/>
      <c r="BD202" s="582"/>
    </row>
    <row r="203" spans="2:56" s="583" customFormat="1" x14ac:dyDescent="0.3">
      <c r="B203" s="587"/>
      <c r="C203" s="587"/>
      <c r="D203" s="621"/>
      <c r="E203" s="624"/>
      <c r="F203" s="624"/>
      <c r="G203" s="624"/>
      <c r="H203" s="624"/>
      <c r="I203" s="624"/>
      <c r="J203" s="624"/>
      <c r="K203" s="624"/>
      <c r="L203" s="624"/>
      <c r="M203" s="624"/>
      <c r="N203" s="624"/>
      <c r="O203" s="624"/>
      <c r="P203" s="622"/>
      <c r="Q203" s="587"/>
      <c r="R203" s="587"/>
      <c r="S203" s="587"/>
      <c r="T203" s="581"/>
      <c r="U203" s="581"/>
      <c r="V203" s="581"/>
      <c r="W203" s="581"/>
      <c r="X203" s="581"/>
      <c r="Y203" s="581"/>
      <c r="Z203" s="581"/>
      <c r="AA203" s="582"/>
      <c r="AB203" s="582"/>
      <c r="AC203" s="582"/>
      <c r="AD203" s="582"/>
      <c r="AE203" s="582"/>
      <c r="AF203" s="582"/>
      <c r="AG203" s="582"/>
      <c r="AH203" s="582"/>
      <c r="AI203" s="582"/>
      <c r="AJ203" s="582"/>
      <c r="AK203" s="582"/>
      <c r="AL203" s="582"/>
      <c r="AM203" s="582"/>
      <c r="AN203" s="582"/>
      <c r="AO203" s="582"/>
      <c r="AP203" s="582"/>
      <c r="AQ203" s="582"/>
      <c r="AR203" s="582"/>
      <c r="AS203" s="582"/>
      <c r="AT203" s="582"/>
      <c r="AU203" s="582"/>
      <c r="AV203" s="582"/>
      <c r="AW203" s="582"/>
      <c r="AX203" s="582"/>
      <c r="AY203" s="582"/>
      <c r="AZ203" s="582"/>
      <c r="BA203" s="582"/>
      <c r="BB203" s="582"/>
      <c r="BC203" s="582"/>
      <c r="BD203" s="582"/>
    </row>
    <row r="204" spans="2:56" s="583" customFormat="1" ht="14.5" x14ac:dyDescent="0.35">
      <c r="B204" s="587"/>
      <c r="C204" s="587"/>
      <c r="D204" s="621"/>
      <c r="E204" s="624"/>
      <c r="F204" s="624"/>
      <c r="G204" s="624"/>
      <c r="H204" s="624"/>
      <c r="I204" s="624"/>
      <c r="J204" s="624"/>
      <c r="K204" s="624"/>
      <c r="L204" s="624"/>
      <c r="M204" s="624"/>
      <c r="N204" s="624"/>
      <c r="O204" s="624"/>
      <c r="P204" s="622"/>
      <c r="Q204" s="587"/>
      <c r="R204" s="587"/>
      <c r="S204" s="587"/>
      <c r="T204" s="581"/>
      <c r="U204" s="581"/>
      <c r="V204" s="581"/>
      <c r="W204" s="625" t="str">
        <f>"Cumul brut en k€ sur "&amp;$G$41&amp;" ans - Scénario de prix ''"&amp;$G$46&amp;"'' - "&amp;$G$202</f>
        <v>Cumul brut en k€ sur 20 ans - Scénario de prix ''Personnalisé'' - Action 6</v>
      </c>
      <c r="X204" s="626"/>
      <c r="Y204" s="626"/>
      <c r="Z204" s="626"/>
      <c r="AA204" s="626"/>
      <c r="AB204" s="626"/>
      <c r="AC204" s="626"/>
      <c r="AD204" s="626"/>
      <c r="AE204" s="626"/>
      <c r="AF204" s="626"/>
      <c r="AG204" s="582"/>
      <c r="AH204" s="582"/>
      <c r="AI204" s="582"/>
      <c r="AJ204" s="582"/>
      <c r="AK204" s="582"/>
      <c r="AL204" s="582"/>
      <c r="AM204" s="582"/>
      <c r="AN204" s="582"/>
      <c r="AO204" s="582"/>
      <c r="AP204" s="582"/>
      <c r="AQ204" s="582"/>
      <c r="AR204" s="582"/>
      <c r="AS204" s="582"/>
      <c r="AT204" s="582"/>
      <c r="AU204" s="582"/>
      <c r="AV204" s="582"/>
      <c r="AW204" s="582"/>
      <c r="AX204" s="582"/>
      <c r="AY204" s="582"/>
      <c r="AZ204" s="582"/>
      <c r="BA204" s="582"/>
      <c r="BB204" s="582"/>
      <c r="BC204" s="582"/>
      <c r="BD204" s="582"/>
    </row>
    <row r="205" spans="2:56" s="583" customFormat="1" x14ac:dyDescent="0.3">
      <c r="B205" s="587"/>
      <c r="C205" s="587"/>
      <c r="D205" s="621"/>
      <c r="E205" s="624"/>
      <c r="F205" s="624"/>
      <c r="G205" s="624"/>
      <c r="H205" s="624"/>
      <c r="I205" s="624"/>
      <c r="J205" s="624"/>
      <c r="K205" s="624"/>
      <c r="L205" s="624"/>
      <c r="M205" s="624"/>
      <c r="N205" s="624"/>
      <c r="O205" s="624"/>
      <c r="P205" s="622"/>
      <c r="Q205" s="587"/>
      <c r="R205" s="587"/>
      <c r="S205" s="587"/>
      <c r="T205" s="581"/>
      <c r="U205" s="581"/>
      <c r="V205" s="581"/>
      <c r="W205" s="626" t="str">
        <f>"Cumul actualisé en k€ sur "&amp;$G$41&amp;" ans - Scénario de prix ''"&amp;$G$46&amp;"'' - "&amp;$G$202&amp;" - Taux d'actualisation de "&amp;W206&amp;"%"</f>
        <v>Cumul actualisé en k€ sur 20 ans - Scénario de prix ''Personnalisé'' - Action 6 - Taux d'actualisation de 10%</v>
      </c>
      <c r="X205" s="626"/>
      <c r="Y205" s="626"/>
      <c r="Z205" s="626"/>
      <c r="AA205" s="626"/>
      <c r="AB205" s="626"/>
      <c r="AC205" s="626"/>
      <c r="AD205" s="626"/>
      <c r="AE205" s="626"/>
      <c r="AF205" s="626"/>
      <c r="AG205" s="582"/>
      <c r="AH205" s="582"/>
      <c r="AI205" s="582"/>
      <c r="AJ205" s="582"/>
      <c r="AK205" s="582"/>
      <c r="AL205" s="582"/>
      <c r="AM205" s="582"/>
      <c r="AN205" s="582"/>
      <c r="AO205" s="582"/>
      <c r="AP205" s="582"/>
      <c r="AQ205" s="582"/>
      <c r="AR205" s="582"/>
      <c r="AS205" s="582"/>
      <c r="AT205" s="582"/>
      <c r="AU205" s="582"/>
      <c r="AV205" s="582"/>
      <c r="AW205" s="582"/>
      <c r="AX205" s="582"/>
      <c r="AY205" s="582"/>
      <c r="AZ205" s="582"/>
      <c r="BA205" s="582"/>
      <c r="BB205" s="582"/>
      <c r="BC205" s="582"/>
      <c r="BD205" s="582"/>
    </row>
    <row r="206" spans="2:56" s="583" customFormat="1" x14ac:dyDescent="0.3">
      <c r="B206" s="587"/>
      <c r="C206" s="587"/>
      <c r="D206" s="621"/>
      <c r="E206" s="624"/>
      <c r="F206" s="624"/>
      <c r="G206" s="624"/>
      <c r="H206" s="624"/>
      <c r="I206" s="624"/>
      <c r="J206" s="624"/>
      <c r="K206" s="624"/>
      <c r="L206" s="624"/>
      <c r="M206" s="624"/>
      <c r="N206" s="624"/>
      <c r="O206" s="624"/>
      <c r="P206" s="622"/>
      <c r="Q206" s="587"/>
      <c r="R206" s="587"/>
      <c r="S206" s="587"/>
      <c r="T206" s="581"/>
      <c r="U206" s="581"/>
      <c r="V206" s="581"/>
      <c r="W206" s="626">
        <f>W226</f>
        <v>10</v>
      </c>
      <c r="X206" s="626"/>
      <c r="Y206" s="626"/>
      <c r="Z206" s="626"/>
      <c r="AA206" s="626"/>
      <c r="AB206" s="626"/>
      <c r="AC206" s="626"/>
      <c r="AD206" s="626"/>
      <c r="AE206" s="626"/>
      <c r="AF206" s="626"/>
      <c r="AG206" s="582"/>
      <c r="AH206" s="582"/>
      <c r="AI206" s="582"/>
      <c r="AJ206" s="582"/>
      <c r="AK206" s="582"/>
      <c r="AL206" s="582"/>
      <c r="AM206" s="582"/>
      <c r="AN206" s="582"/>
      <c r="AO206" s="582"/>
      <c r="AP206" s="582"/>
      <c r="AQ206" s="582"/>
      <c r="AR206" s="582"/>
      <c r="AS206" s="582"/>
      <c r="AT206" s="582"/>
      <c r="AU206" s="582"/>
      <c r="AV206" s="582"/>
      <c r="AW206" s="582"/>
      <c r="AX206" s="582"/>
      <c r="AY206" s="582"/>
      <c r="AZ206" s="582"/>
      <c r="BA206" s="582"/>
      <c r="BB206" s="582"/>
      <c r="BC206" s="582"/>
      <c r="BD206" s="582"/>
    </row>
    <row r="207" spans="2:56" s="583" customFormat="1" x14ac:dyDescent="0.3">
      <c r="B207" s="587"/>
      <c r="C207" s="587"/>
      <c r="D207" s="621"/>
      <c r="E207" s="624"/>
      <c r="F207" s="624"/>
      <c r="G207" s="624"/>
      <c r="H207" s="624"/>
      <c r="I207" s="624"/>
      <c r="J207" s="624"/>
      <c r="K207" s="624"/>
      <c r="L207" s="624"/>
      <c r="M207" s="624"/>
      <c r="N207" s="624"/>
      <c r="O207" s="624"/>
      <c r="P207" s="622"/>
      <c r="Q207" s="587"/>
      <c r="R207" s="587"/>
      <c r="S207" s="587"/>
      <c r="T207" s="581"/>
      <c r="U207" s="581"/>
      <c r="V207" s="581"/>
      <c r="W207" s="626"/>
      <c r="X207" s="626"/>
      <c r="Y207" s="626"/>
      <c r="Z207" s="626"/>
      <c r="AA207" s="626"/>
      <c r="AB207" s="626"/>
      <c r="AC207" s="626"/>
      <c r="AD207" s="626"/>
      <c r="AE207" s="626"/>
      <c r="AF207" s="626"/>
      <c r="AG207" s="582"/>
      <c r="AH207" s="582"/>
      <c r="AI207" s="582"/>
      <c r="AJ207" s="582"/>
      <c r="AK207" s="582"/>
      <c r="AL207" s="582"/>
      <c r="AM207" s="582"/>
      <c r="AN207" s="582"/>
      <c r="AO207" s="582"/>
      <c r="AP207" s="582"/>
      <c r="AQ207" s="582"/>
      <c r="AR207" s="582"/>
      <c r="AS207" s="582"/>
      <c r="AT207" s="582"/>
      <c r="AU207" s="582"/>
      <c r="AV207" s="582"/>
      <c r="AW207" s="582"/>
      <c r="AX207" s="582"/>
      <c r="AY207" s="582"/>
      <c r="AZ207" s="582"/>
      <c r="BA207" s="582"/>
      <c r="BB207" s="582"/>
      <c r="BC207" s="582"/>
      <c r="BD207" s="582"/>
    </row>
    <row r="208" spans="2:56" s="583" customFormat="1" x14ac:dyDescent="0.3">
      <c r="B208" s="587"/>
      <c r="C208" s="587"/>
      <c r="D208" s="621"/>
      <c r="E208" s="624"/>
      <c r="F208" s="624"/>
      <c r="G208" s="624"/>
      <c r="H208" s="624"/>
      <c r="I208" s="624"/>
      <c r="J208" s="624"/>
      <c r="K208" s="624"/>
      <c r="L208" s="624"/>
      <c r="M208" s="624"/>
      <c r="N208" s="624"/>
      <c r="O208" s="624"/>
      <c r="P208" s="622"/>
      <c r="Q208" s="587"/>
      <c r="R208" s="587"/>
      <c r="S208" s="587"/>
      <c r="T208" s="581"/>
      <c r="U208" s="581"/>
      <c r="V208" s="581"/>
      <c r="W208" s="626"/>
      <c r="X208" s="626"/>
      <c r="Y208" s="626"/>
      <c r="Z208" s="626"/>
      <c r="AA208" s="626"/>
      <c r="AB208" s="626"/>
      <c r="AC208" s="626"/>
      <c r="AD208" s="626"/>
      <c r="AE208" s="626"/>
      <c r="AF208" s="626"/>
      <c r="AG208" s="582"/>
      <c r="AH208" s="582"/>
      <c r="AI208" s="582"/>
      <c r="AJ208" s="582"/>
      <c r="AK208" s="582"/>
      <c r="AL208" s="582"/>
      <c r="AM208" s="582"/>
      <c r="AN208" s="582"/>
      <c r="AO208" s="582"/>
      <c r="AP208" s="582"/>
      <c r="AQ208" s="582"/>
      <c r="AR208" s="582"/>
      <c r="AS208" s="582"/>
      <c r="AT208" s="582"/>
      <c r="AU208" s="582"/>
      <c r="AV208" s="582"/>
      <c r="AW208" s="582"/>
      <c r="AX208" s="582"/>
      <c r="AY208" s="582"/>
      <c r="AZ208" s="582"/>
      <c r="BA208" s="582"/>
      <c r="BB208" s="582"/>
      <c r="BC208" s="582"/>
      <c r="BD208" s="582"/>
    </row>
    <row r="209" spans="2:56" s="583" customFormat="1" x14ac:dyDescent="0.3">
      <c r="B209" s="587"/>
      <c r="C209" s="587"/>
      <c r="D209" s="621"/>
      <c r="E209" s="624"/>
      <c r="F209" s="624"/>
      <c r="G209" s="624"/>
      <c r="H209" s="624"/>
      <c r="I209" s="624"/>
      <c r="J209" s="624"/>
      <c r="K209" s="624"/>
      <c r="L209" s="624"/>
      <c r="M209" s="624"/>
      <c r="N209" s="624"/>
      <c r="O209" s="624"/>
      <c r="P209" s="622"/>
      <c r="Q209" s="587"/>
      <c r="R209" s="587"/>
      <c r="S209" s="587"/>
      <c r="T209" s="581"/>
      <c r="U209" s="581"/>
      <c r="V209" s="581"/>
      <c r="W209" s="581"/>
      <c r="X209" s="581"/>
      <c r="Y209" s="581"/>
      <c r="Z209" s="581"/>
      <c r="AA209" s="582"/>
      <c r="AB209" s="582"/>
      <c r="AC209" s="582"/>
      <c r="AD209" s="582"/>
      <c r="AE209" s="582"/>
      <c r="AF209" s="582"/>
      <c r="AG209" s="582"/>
      <c r="AH209" s="582"/>
      <c r="AI209" s="582"/>
      <c r="AJ209" s="582"/>
      <c r="AK209" s="582"/>
      <c r="AL209" s="582"/>
      <c r="AM209" s="582"/>
      <c r="AN209" s="582"/>
      <c r="AO209" s="582"/>
      <c r="AP209" s="582"/>
      <c r="AQ209" s="582"/>
      <c r="AR209" s="582"/>
      <c r="AS209" s="582"/>
      <c r="AT209" s="582"/>
      <c r="AU209" s="582"/>
      <c r="AV209" s="582"/>
      <c r="AW209" s="582"/>
      <c r="AX209" s="582"/>
      <c r="AY209" s="582"/>
      <c r="AZ209" s="582"/>
      <c r="BA209" s="582"/>
      <c r="BB209" s="582"/>
      <c r="BC209" s="582"/>
      <c r="BD209" s="582"/>
    </row>
    <row r="210" spans="2:56" s="583" customFormat="1" x14ac:dyDescent="0.3">
      <c r="B210" s="587"/>
      <c r="C210" s="587"/>
      <c r="D210" s="621"/>
      <c r="E210" s="624"/>
      <c r="F210" s="624"/>
      <c r="G210" s="624"/>
      <c r="H210" s="624"/>
      <c r="I210" s="624"/>
      <c r="J210" s="624"/>
      <c r="K210" s="624"/>
      <c r="L210" s="624"/>
      <c r="M210" s="624"/>
      <c r="N210" s="624"/>
      <c r="O210" s="624"/>
      <c r="P210" s="622"/>
      <c r="Q210" s="587"/>
      <c r="R210" s="587"/>
      <c r="S210" s="587"/>
      <c r="T210" s="581"/>
      <c r="U210" s="581"/>
      <c r="V210" s="581"/>
      <c r="W210" s="581"/>
      <c r="X210" s="581"/>
      <c r="Y210" s="581"/>
      <c r="Z210" s="581"/>
      <c r="AA210" s="582"/>
      <c r="AB210" s="582"/>
      <c r="AC210" s="582"/>
      <c r="AD210" s="582"/>
      <c r="AE210" s="582"/>
      <c r="AF210" s="582"/>
      <c r="AG210" s="582"/>
      <c r="AH210" s="582"/>
      <c r="AI210" s="582"/>
      <c r="AJ210" s="582"/>
      <c r="AK210" s="582"/>
      <c r="AL210" s="582"/>
      <c r="AM210" s="582"/>
      <c r="AN210" s="582"/>
      <c r="AO210" s="582"/>
      <c r="AP210" s="582"/>
      <c r="AQ210" s="582"/>
      <c r="AR210" s="582"/>
      <c r="AS210" s="582"/>
      <c r="AT210" s="582"/>
      <c r="AU210" s="582"/>
      <c r="AV210" s="582"/>
      <c r="AW210" s="582"/>
      <c r="AX210" s="582"/>
      <c r="AY210" s="582"/>
      <c r="AZ210" s="582"/>
      <c r="BA210" s="582"/>
      <c r="BB210" s="582"/>
      <c r="BC210" s="582"/>
      <c r="BD210" s="582"/>
    </row>
    <row r="211" spans="2:56" s="583" customFormat="1" x14ac:dyDescent="0.3">
      <c r="B211" s="587"/>
      <c r="C211" s="587"/>
      <c r="D211" s="621"/>
      <c r="E211" s="624"/>
      <c r="F211" s="624"/>
      <c r="G211" s="624"/>
      <c r="H211" s="624"/>
      <c r="I211" s="624"/>
      <c r="J211" s="624"/>
      <c r="K211" s="624"/>
      <c r="L211" s="624"/>
      <c r="M211" s="624"/>
      <c r="N211" s="624"/>
      <c r="O211" s="624"/>
      <c r="P211" s="622"/>
      <c r="Q211" s="587"/>
      <c r="R211" s="587"/>
      <c r="S211" s="587"/>
      <c r="T211" s="581"/>
      <c r="U211" s="581"/>
      <c r="V211" s="581"/>
      <c r="W211" s="581"/>
      <c r="X211" s="581"/>
      <c r="Y211" s="581"/>
      <c r="Z211" s="581"/>
      <c r="AA211" s="582"/>
      <c r="AB211" s="582"/>
      <c r="AC211" s="582"/>
      <c r="AD211" s="582"/>
      <c r="AE211" s="582"/>
      <c r="AF211" s="582"/>
      <c r="AG211" s="582"/>
      <c r="AH211" s="582"/>
      <c r="AI211" s="582"/>
      <c r="AJ211" s="582"/>
      <c r="AK211" s="582"/>
      <c r="AL211" s="582"/>
      <c r="AM211" s="582"/>
      <c r="AN211" s="582"/>
      <c r="AO211" s="582"/>
      <c r="AP211" s="582"/>
      <c r="AQ211" s="582"/>
      <c r="AR211" s="582"/>
      <c r="AS211" s="582"/>
      <c r="AT211" s="582"/>
      <c r="AU211" s="582"/>
      <c r="AV211" s="582"/>
      <c r="AW211" s="582"/>
      <c r="AX211" s="582"/>
      <c r="AY211" s="582"/>
      <c r="AZ211" s="582"/>
      <c r="BA211" s="582"/>
      <c r="BB211" s="582"/>
      <c r="BC211" s="582"/>
      <c r="BD211" s="582"/>
    </row>
    <row r="212" spans="2:56" s="583" customFormat="1" x14ac:dyDescent="0.3">
      <c r="B212" s="587"/>
      <c r="C212" s="587"/>
      <c r="D212" s="621"/>
      <c r="E212" s="624"/>
      <c r="F212" s="624"/>
      <c r="G212" s="624"/>
      <c r="H212" s="624"/>
      <c r="I212" s="624"/>
      <c r="J212" s="624"/>
      <c r="K212" s="624"/>
      <c r="L212" s="624"/>
      <c r="M212" s="624"/>
      <c r="N212" s="624"/>
      <c r="O212" s="624"/>
      <c r="P212" s="622"/>
      <c r="Q212" s="587"/>
      <c r="R212" s="587"/>
      <c r="S212" s="587"/>
      <c r="T212" s="581"/>
      <c r="U212" s="581"/>
      <c r="V212" s="581"/>
      <c r="W212" s="581"/>
      <c r="X212" s="581"/>
      <c r="Y212" s="581"/>
      <c r="Z212" s="581"/>
      <c r="AA212" s="582"/>
      <c r="AB212" s="582"/>
      <c r="AC212" s="582"/>
      <c r="AD212" s="582"/>
      <c r="AE212" s="582"/>
      <c r="AF212" s="582"/>
      <c r="AG212" s="582"/>
      <c r="AH212" s="582"/>
      <c r="AI212" s="582"/>
      <c r="AJ212" s="582"/>
      <c r="AK212" s="582"/>
      <c r="AL212" s="582"/>
      <c r="AM212" s="582"/>
      <c r="AN212" s="582"/>
      <c r="AO212" s="582"/>
      <c r="AP212" s="582"/>
      <c r="AQ212" s="582"/>
      <c r="AR212" s="582"/>
      <c r="AS212" s="582"/>
      <c r="AT212" s="582"/>
      <c r="AU212" s="582"/>
      <c r="AV212" s="582"/>
      <c r="AW212" s="582"/>
      <c r="AX212" s="582"/>
      <c r="AY212" s="582"/>
      <c r="AZ212" s="582"/>
      <c r="BA212" s="582"/>
      <c r="BB212" s="582"/>
      <c r="BC212" s="582"/>
      <c r="BD212" s="582"/>
    </row>
    <row r="213" spans="2:56" s="583" customFormat="1" x14ac:dyDescent="0.3">
      <c r="B213" s="587"/>
      <c r="C213" s="587"/>
      <c r="D213" s="621"/>
      <c r="E213" s="624"/>
      <c r="F213" s="624"/>
      <c r="G213" s="624"/>
      <c r="H213" s="624"/>
      <c r="I213" s="624"/>
      <c r="J213" s="624"/>
      <c r="K213" s="624"/>
      <c r="L213" s="624"/>
      <c r="M213" s="624"/>
      <c r="N213" s="624"/>
      <c r="O213" s="624"/>
      <c r="P213" s="622"/>
      <c r="Q213" s="587"/>
      <c r="R213" s="587"/>
      <c r="S213" s="587"/>
      <c r="T213" s="581"/>
      <c r="U213" s="581"/>
      <c r="V213" s="581"/>
      <c r="W213" s="581"/>
      <c r="X213" s="581"/>
      <c r="Y213" s="581"/>
      <c r="Z213" s="581"/>
      <c r="AA213" s="582"/>
      <c r="AB213" s="582"/>
      <c r="AC213" s="582"/>
      <c r="AD213" s="582"/>
      <c r="AE213" s="582"/>
      <c r="AF213" s="582"/>
      <c r="AG213" s="582"/>
      <c r="AH213" s="582"/>
      <c r="AI213" s="582"/>
      <c r="AJ213" s="582"/>
      <c r="AK213" s="582"/>
      <c r="AL213" s="582"/>
      <c r="AM213" s="582"/>
      <c r="AN213" s="582"/>
      <c r="AO213" s="582"/>
      <c r="AP213" s="582"/>
      <c r="AQ213" s="582"/>
      <c r="AR213" s="582"/>
      <c r="AS213" s="582"/>
      <c r="AT213" s="582"/>
      <c r="AU213" s="582"/>
      <c r="AV213" s="582"/>
      <c r="AW213" s="582"/>
      <c r="AX213" s="582"/>
      <c r="AY213" s="582"/>
      <c r="AZ213" s="582"/>
      <c r="BA213" s="582"/>
      <c r="BB213" s="582"/>
      <c r="BC213" s="582"/>
      <c r="BD213" s="582"/>
    </row>
    <row r="214" spans="2:56" s="583" customFormat="1" x14ac:dyDescent="0.3">
      <c r="B214" s="587"/>
      <c r="C214" s="587"/>
      <c r="D214" s="621"/>
      <c r="E214" s="624"/>
      <c r="F214" s="624"/>
      <c r="G214" s="624"/>
      <c r="H214" s="624"/>
      <c r="I214" s="624"/>
      <c r="J214" s="624"/>
      <c r="K214" s="624"/>
      <c r="L214" s="624"/>
      <c r="M214" s="624"/>
      <c r="N214" s="624"/>
      <c r="O214" s="624"/>
      <c r="P214" s="622"/>
      <c r="Q214" s="587"/>
      <c r="R214" s="587"/>
      <c r="S214" s="587"/>
      <c r="T214" s="581"/>
      <c r="U214" s="581"/>
      <c r="V214" s="581"/>
      <c r="W214" s="581"/>
      <c r="X214" s="581"/>
      <c r="Y214" s="581"/>
      <c r="Z214" s="581"/>
      <c r="AA214" s="582"/>
      <c r="AB214" s="582"/>
      <c r="AC214" s="582"/>
      <c r="AD214" s="582"/>
      <c r="AE214" s="582"/>
      <c r="AF214" s="582"/>
      <c r="AG214" s="582"/>
      <c r="AH214" s="582"/>
      <c r="AI214" s="582"/>
      <c r="AJ214" s="582"/>
      <c r="AK214" s="582"/>
      <c r="AL214" s="582"/>
      <c r="AM214" s="582"/>
      <c r="AN214" s="582"/>
      <c r="AO214" s="582"/>
      <c r="AP214" s="582"/>
      <c r="AQ214" s="582"/>
      <c r="AR214" s="582"/>
      <c r="AS214" s="582"/>
      <c r="AT214" s="582"/>
      <c r="AU214" s="582"/>
      <c r="AV214" s="582"/>
      <c r="AW214" s="582"/>
      <c r="AX214" s="582"/>
      <c r="AY214" s="582"/>
      <c r="AZ214" s="582"/>
      <c r="BA214" s="582"/>
      <c r="BB214" s="582"/>
      <c r="BC214" s="582"/>
      <c r="BD214" s="582"/>
    </row>
    <row r="215" spans="2:56" s="583" customFormat="1" x14ac:dyDescent="0.3">
      <c r="B215" s="587"/>
      <c r="C215" s="587"/>
      <c r="D215" s="621"/>
      <c r="E215" s="624"/>
      <c r="F215" s="624"/>
      <c r="G215" s="624"/>
      <c r="H215" s="624"/>
      <c r="I215" s="624"/>
      <c r="J215" s="624"/>
      <c r="K215" s="624"/>
      <c r="L215" s="624"/>
      <c r="M215" s="624"/>
      <c r="N215" s="624"/>
      <c r="O215" s="624"/>
      <c r="P215" s="622"/>
      <c r="Q215" s="587"/>
      <c r="R215" s="587"/>
      <c r="S215" s="587"/>
      <c r="T215" s="581"/>
      <c r="U215" s="581"/>
      <c r="V215" s="581"/>
      <c r="W215" s="581"/>
      <c r="X215" s="581"/>
      <c r="Y215" s="581"/>
      <c r="Z215" s="581"/>
      <c r="AA215" s="582"/>
      <c r="AB215" s="582"/>
      <c r="AC215" s="582"/>
      <c r="AD215" s="582"/>
      <c r="AE215" s="582"/>
      <c r="AF215" s="582"/>
      <c r="AG215" s="582"/>
      <c r="AH215" s="582"/>
      <c r="AI215" s="582"/>
      <c r="AJ215" s="582"/>
      <c r="AK215" s="582"/>
      <c r="AL215" s="582"/>
      <c r="AM215" s="582"/>
      <c r="AN215" s="582"/>
      <c r="AO215" s="582"/>
      <c r="AP215" s="582"/>
      <c r="AQ215" s="582"/>
      <c r="AR215" s="582"/>
      <c r="AS215" s="582"/>
      <c r="AT215" s="582"/>
      <c r="AU215" s="582"/>
      <c r="AV215" s="582"/>
      <c r="AW215" s="582"/>
      <c r="AX215" s="582"/>
      <c r="AY215" s="582"/>
      <c r="AZ215" s="582"/>
      <c r="BA215" s="582"/>
      <c r="BB215" s="582"/>
      <c r="BC215" s="582"/>
      <c r="BD215" s="582"/>
    </row>
    <row r="216" spans="2:56" s="583" customFormat="1" x14ac:dyDescent="0.3">
      <c r="B216" s="587"/>
      <c r="C216" s="587"/>
      <c r="D216" s="621"/>
      <c r="E216" s="624"/>
      <c r="F216" s="624"/>
      <c r="G216" s="624"/>
      <c r="H216" s="624"/>
      <c r="I216" s="624"/>
      <c r="J216" s="624"/>
      <c r="K216" s="624"/>
      <c r="L216" s="624"/>
      <c r="M216" s="624"/>
      <c r="N216" s="624"/>
      <c r="O216" s="624"/>
      <c r="P216" s="622"/>
      <c r="Q216" s="587"/>
      <c r="R216" s="587"/>
      <c r="S216" s="587"/>
      <c r="T216" s="581"/>
      <c r="U216" s="581"/>
      <c r="V216" s="581"/>
      <c r="W216" s="581"/>
      <c r="X216" s="581"/>
      <c r="Y216" s="581"/>
      <c r="Z216" s="581"/>
      <c r="AA216" s="582"/>
      <c r="AB216" s="582"/>
      <c r="AC216" s="582"/>
      <c r="AD216" s="582"/>
      <c r="AE216" s="582"/>
      <c r="AF216" s="582"/>
      <c r="AG216" s="582"/>
      <c r="AH216" s="582"/>
      <c r="AI216" s="582"/>
      <c r="AJ216" s="582"/>
      <c r="AK216" s="582"/>
      <c r="AL216" s="582"/>
      <c r="AM216" s="582"/>
      <c r="AN216" s="582"/>
      <c r="AO216" s="582"/>
      <c r="AP216" s="582"/>
      <c r="AQ216" s="582"/>
      <c r="AR216" s="582"/>
      <c r="AS216" s="582"/>
      <c r="AT216" s="582"/>
      <c r="AU216" s="582"/>
      <c r="AV216" s="582"/>
      <c r="AW216" s="582"/>
      <c r="AX216" s="582"/>
      <c r="AY216" s="582"/>
      <c r="AZ216" s="582"/>
      <c r="BA216" s="582"/>
      <c r="BB216" s="582"/>
      <c r="BC216" s="582"/>
      <c r="BD216" s="582"/>
    </row>
    <row r="217" spans="2:56" s="583" customFormat="1" x14ac:dyDescent="0.3">
      <c r="B217" s="587"/>
      <c r="C217" s="587"/>
      <c r="D217" s="621"/>
      <c r="E217" s="624"/>
      <c r="F217" s="624"/>
      <c r="G217" s="624"/>
      <c r="H217" s="624"/>
      <c r="I217" s="624"/>
      <c r="J217" s="624"/>
      <c r="K217" s="624"/>
      <c r="L217" s="624"/>
      <c r="M217" s="624"/>
      <c r="N217" s="624"/>
      <c r="O217" s="624"/>
      <c r="P217" s="622"/>
      <c r="Q217" s="587"/>
      <c r="R217" s="587"/>
      <c r="S217" s="587"/>
      <c r="T217" s="581"/>
      <c r="U217" s="581"/>
      <c r="V217" s="581"/>
      <c r="W217" s="581"/>
      <c r="X217" s="581"/>
      <c r="Y217" s="581"/>
      <c r="Z217" s="581"/>
      <c r="AA217" s="582"/>
      <c r="AB217" s="582"/>
      <c r="AC217" s="582"/>
      <c r="AD217" s="582"/>
      <c r="AE217" s="582"/>
      <c r="AF217" s="582"/>
      <c r="AG217" s="582"/>
      <c r="AH217" s="582"/>
      <c r="AI217" s="582"/>
      <c r="AJ217" s="582"/>
      <c r="AK217" s="582"/>
      <c r="AL217" s="582"/>
      <c r="AM217" s="582"/>
      <c r="AN217" s="582"/>
      <c r="AO217" s="582"/>
      <c r="AP217" s="582"/>
      <c r="AQ217" s="582"/>
      <c r="AR217" s="582"/>
      <c r="AS217" s="582"/>
      <c r="AT217" s="582"/>
      <c r="AU217" s="582"/>
      <c r="AV217" s="582"/>
      <c r="AW217" s="582"/>
      <c r="AX217" s="582"/>
      <c r="AY217" s="582"/>
      <c r="AZ217" s="582"/>
      <c r="BA217" s="582"/>
      <c r="BB217" s="582"/>
      <c r="BC217" s="582"/>
      <c r="BD217" s="582"/>
    </row>
    <row r="218" spans="2:56" s="583" customFormat="1" x14ac:dyDescent="0.3">
      <c r="B218" s="587"/>
      <c r="C218" s="587"/>
      <c r="D218" s="621"/>
      <c r="E218" s="624"/>
      <c r="F218" s="624"/>
      <c r="G218" s="624"/>
      <c r="H218" s="624"/>
      <c r="I218" s="624"/>
      <c r="J218" s="624"/>
      <c r="K218" s="624"/>
      <c r="L218" s="624"/>
      <c r="M218" s="624"/>
      <c r="N218" s="624"/>
      <c r="O218" s="624"/>
      <c r="P218" s="622"/>
      <c r="Q218" s="587"/>
      <c r="R218" s="587"/>
      <c r="S218" s="587"/>
      <c r="T218" s="581"/>
      <c r="U218" s="581"/>
      <c r="V218" s="581"/>
      <c r="W218" s="581"/>
      <c r="X218" s="581"/>
      <c r="Y218" s="581"/>
      <c r="Z218" s="581"/>
      <c r="AA218" s="582"/>
      <c r="AB218" s="582"/>
      <c r="AC218" s="582"/>
      <c r="AD218" s="582"/>
      <c r="AE218" s="582"/>
      <c r="AF218" s="582"/>
      <c r="AG218" s="582"/>
      <c r="AH218" s="582"/>
      <c r="AI218" s="582"/>
      <c r="AJ218" s="582"/>
      <c r="AK218" s="582"/>
      <c r="AL218" s="582"/>
      <c r="AM218" s="582"/>
      <c r="AN218" s="582"/>
      <c r="AO218" s="582"/>
      <c r="AP218" s="582"/>
      <c r="AQ218" s="582"/>
      <c r="AR218" s="582"/>
      <c r="AS218" s="582"/>
      <c r="AT218" s="582"/>
      <c r="AU218" s="582"/>
      <c r="AV218" s="582"/>
      <c r="AW218" s="582"/>
      <c r="AX218" s="582"/>
      <c r="AY218" s="582"/>
      <c r="AZ218" s="582"/>
      <c r="BA218" s="582"/>
      <c r="BB218" s="582"/>
      <c r="BC218" s="582"/>
      <c r="BD218" s="582"/>
    </row>
    <row r="219" spans="2:56" s="583" customFormat="1" x14ac:dyDescent="0.3">
      <c r="B219" s="587"/>
      <c r="C219" s="587"/>
      <c r="D219" s="621"/>
      <c r="E219" s="624"/>
      <c r="F219" s="624"/>
      <c r="G219" s="624"/>
      <c r="H219" s="624"/>
      <c r="I219" s="624"/>
      <c r="J219" s="624"/>
      <c r="K219" s="624"/>
      <c r="L219" s="624"/>
      <c r="M219" s="624"/>
      <c r="N219" s="624"/>
      <c r="O219" s="624"/>
      <c r="P219" s="622"/>
      <c r="Q219" s="587"/>
      <c r="R219" s="587"/>
      <c r="S219" s="587"/>
      <c r="T219" s="581"/>
      <c r="U219" s="581"/>
      <c r="V219" s="581"/>
      <c r="W219" s="581"/>
      <c r="X219" s="581"/>
      <c r="Y219" s="581"/>
      <c r="Z219" s="581"/>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582"/>
      <c r="AY219" s="582"/>
      <c r="AZ219" s="582"/>
      <c r="BA219" s="582"/>
      <c r="BB219" s="582"/>
      <c r="BC219" s="582"/>
      <c r="BD219" s="582"/>
    </row>
    <row r="220" spans="2:56" s="583" customFormat="1" x14ac:dyDescent="0.3">
      <c r="B220" s="587"/>
      <c r="C220" s="587"/>
      <c r="D220" s="621"/>
      <c r="E220" s="624"/>
      <c r="F220" s="624"/>
      <c r="G220" s="624"/>
      <c r="H220" s="624"/>
      <c r="I220" s="624"/>
      <c r="J220" s="624"/>
      <c r="K220" s="624"/>
      <c r="L220" s="624"/>
      <c r="M220" s="624"/>
      <c r="N220" s="624"/>
      <c r="O220" s="624"/>
      <c r="P220" s="622"/>
      <c r="Q220" s="587"/>
      <c r="R220" s="587"/>
      <c r="S220" s="587"/>
      <c r="T220" s="581"/>
      <c r="U220" s="581"/>
      <c r="V220" s="581"/>
      <c r="W220" s="581"/>
      <c r="X220" s="581"/>
      <c r="Y220" s="581"/>
      <c r="Z220" s="581"/>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582"/>
      <c r="AY220" s="582"/>
      <c r="AZ220" s="582"/>
      <c r="BA220" s="582"/>
      <c r="BB220" s="582"/>
      <c r="BC220" s="582"/>
      <c r="BD220" s="582"/>
    </row>
    <row r="221" spans="2:56" s="583" customFormat="1" x14ac:dyDescent="0.3">
      <c r="B221" s="587"/>
      <c r="C221" s="587"/>
      <c r="D221" s="627"/>
      <c r="E221" s="628"/>
      <c r="F221" s="628"/>
      <c r="G221" s="628"/>
      <c r="H221" s="628"/>
      <c r="I221" s="628"/>
      <c r="J221" s="628"/>
      <c r="K221" s="628"/>
      <c r="L221" s="628"/>
      <c r="M221" s="628"/>
      <c r="N221" s="628"/>
      <c r="O221" s="628"/>
      <c r="P221" s="629"/>
      <c r="Q221" s="587"/>
      <c r="R221" s="587"/>
      <c r="S221" s="587"/>
      <c r="T221" s="581"/>
      <c r="U221" s="581"/>
      <c r="V221" s="581"/>
      <c r="W221" s="581"/>
      <c r="X221" s="581"/>
      <c r="Y221" s="581"/>
      <c r="Z221" s="581"/>
      <c r="AA221" s="582"/>
      <c r="AB221" s="582"/>
      <c r="AC221" s="582"/>
      <c r="AD221" s="582"/>
      <c r="AE221" s="582"/>
      <c r="AF221" s="582"/>
      <c r="AG221" s="582"/>
      <c r="AH221" s="582"/>
      <c r="AI221" s="582"/>
      <c r="AJ221" s="582"/>
      <c r="AK221" s="582"/>
      <c r="AL221" s="582"/>
      <c r="AM221" s="582"/>
      <c r="AN221" s="582"/>
      <c r="AO221" s="582"/>
      <c r="AP221" s="582"/>
      <c r="AQ221" s="582"/>
      <c r="AR221" s="582"/>
      <c r="AS221" s="582"/>
      <c r="AT221" s="582"/>
      <c r="AU221" s="582"/>
      <c r="AV221" s="582"/>
      <c r="AW221" s="582"/>
      <c r="AX221" s="582"/>
      <c r="AY221" s="582"/>
      <c r="AZ221" s="582"/>
      <c r="BA221" s="582"/>
      <c r="BB221" s="582"/>
      <c r="BC221" s="582"/>
      <c r="BD221" s="582"/>
    </row>
    <row r="222" spans="2:56" s="583" customFormat="1" ht="14.5" thickBot="1" x14ac:dyDescent="0.35">
      <c r="B222" s="587"/>
      <c r="C222" s="587"/>
      <c r="D222" s="630"/>
      <c r="E222" s="631"/>
      <c r="F222" s="631"/>
      <c r="G222" s="631"/>
      <c r="H222" s="631"/>
      <c r="I222" s="631"/>
      <c r="J222" s="631"/>
      <c r="K222" s="631"/>
      <c r="L222" s="631"/>
      <c r="M222" s="631"/>
      <c r="N222" s="631"/>
      <c r="O222" s="631"/>
      <c r="P222" s="632"/>
      <c r="Q222" s="576"/>
      <c r="R222" s="576"/>
      <c r="S222" s="587"/>
      <c r="T222" s="581"/>
      <c r="U222" s="581"/>
      <c r="V222" s="581"/>
      <c r="W222" s="581"/>
      <c r="X222" s="581"/>
      <c r="Y222" s="581"/>
      <c r="Z222" s="581"/>
      <c r="AA222" s="582"/>
      <c r="AB222" s="582"/>
      <c r="AC222" s="582"/>
      <c r="AD222" s="582"/>
      <c r="AE222" s="582"/>
      <c r="AF222" s="582"/>
      <c r="AG222" s="582"/>
      <c r="AH222" s="582"/>
      <c r="AI222" s="582"/>
      <c r="AJ222" s="582"/>
      <c r="AK222" s="582"/>
      <c r="AL222" s="582"/>
      <c r="AM222" s="582"/>
      <c r="AN222" s="582"/>
      <c r="AO222" s="582"/>
      <c r="AP222" s="582"/>
      <c r="AQ222" s="582"/>
      <c r="AR222" s="582"/>
      <c r="AS222" s="582"/>
      <c r="AT222" s="582"/>
      <c r="AU222" s="582"/>
      <c r="AV222" s="582"/>
      <c r="AW222" s="582"/>
      <c r="AX222" s="582"/>
      <c r="AY222" s="582"/>
      <c r="AZ222" s="582"/>
      <c r="BA222" s="582"/>
      <c r="BB222" s="582"/>
      <c r="BC222" s="582"/>
      <c r="BD222" s="582"/>
    </row>
    <row r="223" spans="2:56" s="583" customFormat="1" ht="26.5" customHeight="1" x14ac:dyDescent="0.3">
      <c r="B223" s="587"/>
      <c r="C223" s="587"/>
      <c r="D223" s="621"/>
      <c r="E223" s="778" t="s">
        <v>316</v>
      </c>
      <c r="F223" s="779"/>
      <c r="G223" s="623" t="s">
        <v>119</v>
      </c>
      <c r="H223" s="614"/>
      <c r="I223" s="614"/>
      <c r="J223" s="614"/>
      <c r="K223" s="614"/>
      <c r="L223" s="614"/>
      <c r="M223" s="614"/>
      <c r="N223" s="614"/>
      <c r="O223" s="614"/>
      <c r="P223" s="622"/>
      <c r="Q223" s="576"/>
      <c r="R223" s="576"/>
      <c r="S223" s="587"/>
      <c r="T223" s="581"/>
      <c r="U223" s="581"/>
      <c r="V223" s="581"/>
      <c r="W223" s="633"/>
      <c r="X223" s="633"/>
      <c r="Y223" s="633"/>
      <c r="Z223" s="633"/>
      <c r="AA223" s="633"/>
      <c r="AB223" s="633"/>
      <c r="AC223" s="633"/>
      <c r="AD223" s="633"/>
      <c r="AE223" s="633"/>
      <c r="AF223" s="582"/>
      <c r="AG223" s="582"/>
      <c r="AH223" s="582"/>
      <c r="AI223" s="582"/>
      <c r="AJ223" s="582"/>
      <c r="AK223" s="582"/>
      <c r="AL223" s="582"/>
      <c r="AM223" s="582"/>
      <c r="AN223" s="582"/>
      <c r="AO223" s="582"/>
      <c r="AP223" s="582"/>
      <c r="AQ223" s="582"/>
      <c r="AR223" s="582"/>
      <c r="AS223" s="582"/>
      <c r="AT223" s="582"/>
      <c r="AU223" s="582"/>
      <c r="AV223" s="582"/>
      <c r="AW223" s="582"/>
      <c r="AX223" s="582"/>
      <c r="AY223" s="582"/>
      <c r="AZ223" s="582"/>
      <c r="BA223" s="582"/>
      <c r="BB223" s="582"/>
      <c r="BC223" s="582"/>
      <c r="BD223" s="582"/>
    </row>
    <row r="224" spans="2:56" s="583" customFormat="1" x14ac:dyDescent="0.3">
      <c r="B224" s="587"/>
      <c r="C224" s="587"/>
      <c r="D224" s="621"/>
      <c r="E224" s="614"/>
      <c r="F224" s="614"/>
      <c r="G224" s="614"/>
      <c r="H224" s="614"/>
      <c r="I224" s="614"/>
      <c r="J224" s="614"/>
      <c r="K224" s="614"/>
      <c r="L224" s="614"/>
      <c r="M224" s="614"/>
      <c r="N224" s="614"/>
      <c r="O224" s="614"/>
      <c r="P224" s="622"/>
      <c r="Q224" s="576"/>
      <c r="R224" s="576"/>
      <c r="S224" s="587"/>
      <c r="T224" s="581"/>
      <c r="U224" s="581"/>
      <c r="V224" s="581"/>
      <c r="W224" s="634" t="str">
        <f>"Cumul brut en k€ sur "&amp;$G$41&amp;" ans - Scénario de prix ''"&amp;$G$46&amp;"'' - "&amp;$G$223</f>
        <v>Cumul brut en k€ sur 20 ans - Scénario de prix ''Personnalisé'' - TOTAL</v>
      </c>
      <c r="X224" s="633"/>
      <c r="Y224" s="633"/>
      <c r="Z224" s="633"/>
      <c r="AA224" s="633"/>
      <c r="AB224" s="633"/>
      <c r="AC224" s="633"/>
      <c r="AD224" s="633"/>
      <c r="AE224" s="633"/>
      <c r="AF224" s="582"/>
      <c r="AG224" s="582"/>
      <c r="AH224" s="582"/>
      <c r="AI224" s="582"/>
      <c r="AJ224" s="582"/>
      <c r="AK224" s="582"/>
      <c r="AL224" s="582"/>
      <c r="AM224" s="582"/>
      <c r="AN224" s="582"/>
      <c r="AO224" s="582"/>
      <c r="AP224" s="582"/>
      <c r="AQ224" s="582"/>
      <c r="AR224" s="582"/>
      <c r="AS224" s="582"/>
      <c r="AT224" s="582"/>
      <c r="AU224" s="582"/>
      <c r="AV224" s="582"/>
      <c r="AW224" s="582"/>
      <c r="AX224" s="582"/>
      <c r="AY224" s="582"/>
      <c r="AZ224" s="582"/>
      <c r="BA224" s="582"/>
      <c r="BB224" s="582"/>
      <c r="BC224" s="582"/>
      <c r="BD224" s="582"/>
    </row>
    <row r="225" spans="2:56" s="583" customFormat="1" x14ac:dyDescent="0.3">
      <c r="B225" s="587"/>
      <c r="C225" s="587"/>
      <c r="D225" s="635"/>
      <c r="E225" s="614"/>
      <c r="F225" s="614"/>
      <c r="G225" s="614"/>
      <c r="H225" s="614"/>
      <c r="I225" s="614"/>
      <c r="J225" s="614"/>
      <c r="K225" s="614"/>
      <c r="L225" s="614"/>
      <c r="M225" s="614"/>
      <c r="N225" s="614"/>
      <c r="O225" s="614"/>
      <c r="P225" s="622"/>
      <c r="Q225" s="576"/>
      <c r="W225" s="634" t="str">
        <f>"Cumul actualisé en k€ sur "&amp;$G$41&amp;" ans - Scénario de prix ''"&amp;$G$46&amp;"'' - "&amp;$G$223&amp;" - Taux d'actualisation de "&amp;W226&amp;"%"</f>
        <v>Cumul actualisé en k€ sur 20 ans - Scénario de prix ''Personnalisé'' - TOTAL - Taux d'actualisation de 10%</v>
      </c>
      <c r="X225" s="633"/>
      <c r="Y225" s="633"/>
      <c r="Z225" s="633"/>
      <c r="AA225" s="633"/>
      <c r="AB225" s="633"/>
      <c r="AC225" s="633"/>
      <c r="AD225" s="633"/>
      <c r="AE225" s="633"/>
      <c r="AF225" s="582"/>
      <c r="AG225" s="582"/>
      <c r="AH225" s="582"/>
      <c r="AI225" s="582"/>
      <c r="AJ225" s="582"/>
      <c r="AK225" s="582"/>
      <c r="AL225" s="582"/>
      <c r="AM225" s="582"/>
      <c r="AN225" s="582"/>
      <c r="AO225" s="582"/>
      <c r="AP225" s="582"/>
      <c r="AQ225" s="582"/>
      <c r="AR225" s="582"/>
      <c r="AS225" s="582"/>
      <c r="AT225" s="582"/>
      <c r="AU225" s="582"/>
      <c r="AV225" s="582"/>
      <c r="AW225" s="582"/>
      <c r="AX225" s="582"/>
      <c r="AY225" s="582"/>
      <c r="AZ225" s="582"/>
      <c r="BA225" s="582"/>
      <c r="BB225" s="582"/>
      <c r="BC225" s="582"/>
      <c r="BD225" s="582"/>
    </row>
    <row r="226" spans="2:56" s="583" customFormat="1" x14ac:dyDescent="0.3">
      <c r="B226" s="587"/>
      <c r="C226" s="587"/>
      <c r="D226" s="635"/>
      <c r="E226" s="614"/>
      <c r="F226" s="614"/>
      <c r="G226" s="614"/>
      <c r="H226" s="614"/>
      <c r="I226" s="614"/>
      <c r="J226" s="614"/>
      <c r="K226" s="614"/>
      <c r="L226" s="614"/>
      <c r="M226" s="614"/>
      <c r="N226" s="614"/>
      <c r="O226" s="614"/>
      <c r="P226" s="622"/>
      <c r="Q226" s="576"/>
      <c r="W226" s="636">
        <f>Tx_a*100</f>
        <v>10</v>
      </c>
      <c r="X226" s="633"/>
      <c r="Y226" s="633"/>
      <c r="Z226" s="633"/>
      <c r="AA226" s="633"/>
      <c r="AB226" s="633"/>
      <c r="AC226" s="633"/>
      <c r="AD226" s="633"/>
      <c r="AE226" s="633"/>
      <c r="AF226" s="582"/>
      <c r="AG226" s="582"/>
      <c r="AH226" s="582"/>
      <c r="AI226" s="582"/>
      <c r="AJ226" s="582"/>
      <c r="AK226" s="582"/>
      <c r="AL226" s="582"/>
      <c r="AM226" s="582"/>
      <c r="AN226" s="582"/>
      <c r="AO226" s="582"/>
      <c r="AP226" s="582"/>
      <c r="AQ226" s="582"/>
      <c r="AR226" s="582"/>
      <c r="AS226" s="582"/>
      <c r="AT226" s="582"/>
      <c r="AU226" s="582"/>
      <c r="AV226" s="582"/>
      <c r="AW226" s="582"/>
      <c r="AX226" s="582"/>
      <c r="AY226" s="582"/>
      <c r="AZ226" s="582"/>
      <c r="BA226" s="582"/>
      <c r="BB226" s="582"/>
      <c r="BC226" s="582"/>
      <c r="BD226" s="582"/>
    </row>
    <row r="227" spans="2:56" s="583" customFormat="1" x14ac:dyDescent="0.3">
      <c r="B227" s="587"/>
      <c r="C227" s="587"/>
      <c r="D227" s="635"/>
      <c r="E227" s="614"/>
      <c r="F227" s="614"/>
      <c r="G227" s="614"/>
      <c r="H227" s="614"/>
      <c r="I227" s="614"/>
      <c r="J227" s="614"/>
      <c r="K227" s="614"/>
      <c r="L227" s="614"/>
      <c r="M227" s="614"/>
      <c r="N227" s="614"/>
      <c r="O227" s="614"/>
      <c r="P227" s="622"/>
      <c r="Q227" s="576"/>
      <c r="W227" s="633"/>
      <c r="X227" s="633"/>
      <c r="Y227" s="633"/>
      <c r="Z227" s="633"/>
      <c r="AA227" s="633"/>
      <c r="AB227" s="633"/>
      <c r="AC227" s="633"/>
      <c r="AD227" s="633"/>
      <c r="AE227" s="633"/>
      <c r="AF227" s="582"/>
      <c r="AG227" s="582"/>
      <c r="AH227" s="582"/>
      <c r="AI227" s="582"/>
      <c r="AJ227" s="582"/>
      <c r="AK227" s="582"/>
      <c r="AL227" s="582"/>
      <c r="AM227" s="582"/>
      <c r="AN227" s="582"/>
      <c r="AO227" s="582"/>
      <c r="AP227" s="582"/>
      <c r="AQ227" s="582"/>
      <c r="AR227" s="582"/>
      <c r="AS227" s="582"/>
      <c r="AT227" s="582"/>
      <c r="AU227" s="582"/>
      <c r="AV227" s="582"/>
      <c r="AW227" s="582"/>
      <c r="AX227" s="582"/>
      <c r="AY227" s="582"/>
      <c r="AZ227" s="582"/>
      <c r="BA227" s="582"/>
      <c r="BB227" s="582"/>
      <c r="BC227" s="582"/>
      <c r="BD227" s="582"/>
    </row>
    <row r="228" spans="2:56" s="583" customFormat="1" x14ac:dyDescent="0.3">
      <c r="B228" s="587"/>
      <c r="C228" s="587"/>
      <c r="D228" s="635"/>
      <c r="E228" s="614"/>
      <c r="F228" s="614"/>
      <c r="G228" s="614"/>
      <c r="H228" s="614"/>
      <c r="I228" s="614"/>
      <c r="J228" s="614"/>
      <c r="K228" s="614"/>
      <c r="L228" s="614"/>
      <c r="M228" s="614"/>
      <c r="N228" s="614"/>
      <c r="O228" s="614"/>
      <c r="P228" s="622"/>
      <c r="Q228" s="587"/>
      <c r="AA228" s="582"/>
      <c r="AB228" s="582"/>
      <c r="AC228" s="582"/>
      <c r="AD228" s="582"/>
      <c r="AE228" s="582"/>
      <c r="AF228" s="582"/>
      <c r="AG228" s="582"/>
      <c r="AH228" s="582"/>
      <c r="AI228" s="582"/>
      <c r="AJ228" s="582"/>
      <c r="AK228" s="582"/>
      <c r="AL228" s="582"/>
      <c r="AM228" s="582"/>
      <c r="AN228" s="582"/>
      <c r="AO228" s="582"/>
      <c r="AP228" s="582"/>
      <c r="AQ228" s="582"/>
      <c r="AR228" s="582"/>
      <c r="AS228" s="582"/>
      <c r="AT228" s="582"/>
      <c r="AU228" s="582"/>
      <c r="AV228" s="582"/>
      <c r="AW228" s="582"/>
      <c r="AX228" s="582"/>
      <c r="AY228" s="582"/>
      <c r="AZ228" s="582"/>
      <c r="BA228" s="582"/>
      <c r="BB228" s="582"/>
      <c r="BC228" s="582"/>
      <c r="BD228" s="582"/>
    </row>
    <row r="229" spans="2:56" s="583" customFormat="1" x14ac:dyDescent="0.3">
      <c r="B229" s="587"/>
      <c r="C229" s="587"/>
      <c r="D229" s="621"/>
      <c r="E229" s="614"/>
      <c r="F229" s="614"/>
      <c r="G229" s="614"/>
      <c r="H229" s="614"/>
      <c r="I229" s="614"/>
      <c r="J229" s="614"/>
      <c r="K229" s="614"/>
      <c r="L229" s="614"/>
      <c r="M229" s="614"/>
      <c r="N229" s="614"/>
      <c r="O229" s="614"/>
      <c r="P229" s="622"/>
      <c r="Q229" s="587"/>
      <c r="AA229" s="582"/>
      <c r="AB229" s="582"/>
      <c r="AC229" s="582"/>
      <c r="AD229" s="582"/>
      <c r="AE229" s="582"/>
      <c r="AF229" s="582"/>
      <c r="AG229" s="582"/>
      <c r="AH229" s="582"/>
      <c r="AI229" s="582"/>
      <c r="AJ229" s="582"/>
      <c r="AK229" s="582"/>
      <c r="AL229" s="582"/>
      <c r="AM229" s="582"/>
      <c r="AN229" s="582"/>
      <c r="AO229" s="582"/>
      <c r="AP229" s="582"/>
      <c r="AQ229" s="582"/>
      <c r="AR229" s="582"/>
      <c r="AS229" s="582"/>
      <c r="AT229" s="582"/>
      <c r="AU229" s="582"/>
      <c r="AV229" s="582"/>
      <c r="AW229" s="582"/>
      <c r="AX229" s="582"/>
      <c r="AY229" s="582"/>
      <c r="AZ229" s="582"/>
      <c r="BA229" s="582"/>
      <c r="BB229" s="582"/>
      <c r="BC229" s="582"/>
      <c r="BD229" s="582"/>
    </row>
    <row r="230" spans="2:56" s="583" customFormat="1" x14ac:dyDescent="0.3">
      <c r="B230" s="587"/>
      <c r="C230" s="587"/>
      <c r="D230" s="621"/>
      <c r="E230" s="614"/>
      <c r="F230" s="614"/>
      <c r="G230" s="614"/>
      <c r="H230" s="614"/>
      <c r="I230" s="614"/>
      <c r="J230" s="614"/>
      <c r="K230" s="614"/>
      <c r="L230" s="614"/>
      <c r="M230" s="614"/>
      <c r="N230" s="614"/>
      <c r="O230" s="614"/>
      <c r="P230" s="622"/>
      <c r="Q230" s="587"/>
      <c r="R230" s="587"/>
      <c r="S230" s="587"/>
      <c r="T230" s="581"/>
      <c r="U230" s="581"/>
      <c r="V230" s="581"/>
      <c r="W230" s="581"/>
      <c r="X230" s="581"/>
      <c r="Y230" s="581"/>
      <c r="Z230" s="581"/>
      <c r="AA230" s="582"/>
      <c r="AB230" s="582"/>
      <c r="AC230" s="582"/>
      <c r="AD230" s="582"/>
      <c r="AE230" s="582"/>
      <c r="AF230" s="582"/>
      <c r="AG230" s="582"/>
      <c r="AH230" s="582"/>
      <c r="AI230" s="582"/>
      <c r="AJ230" s="582"/>
      <c r="AK230" s="582"/>
      <c r="AL230" s="582"/>
      <c r="AM230" s="582"/>
      <c r="AN230" s="582"/>
      <c r="AO230" s="582"/>
      <c r="AP230" s="582"/>
      <c r="AQ230" s="582"/>
      <c r="AR230" s="582"/>
      <c r="AS230" s="582"/>
      <c r="AT230" s="582"/>
      <c r="AU230" s="582"/>
      <c r="AV230" s="582"/>
      <c r="AW230" s="582"/>
      <c r="AX230" s="582"/>
      <c r="AY230" s="582"/>
      <c r="AZ230" s="582"/>
      <c r="BA230" s="582"/>
      <c r="BB230" s="582"/>
      <c r="BC230" s="582"/>
      <c r="BD230" s="582"/>
    </row>
    <row r="231" spans="2:56" s="583" customFormat="1" x14ac:dyDescent="0.3">
      <c r="B231" s="587"/>
      <c r="C231" s="587"/>
      <c r="D231" s="621"/>
      <c r="E231" s="614"/>
      <c r="F231" s="614"/>
      <c r="G231" s="614"/>
      <c r="H231" s="614"/>
      <c r="I231" s="614"/>
      <c r="J231" s="614"/>
      <c r="K231" s="614"/>
      <c r="L231" s="614"/>
      <c r="M231" s="614"/>
      <c r="N231" s="614"/>
      <c r="O231" s="614"/>
      <c r="P231" s="622"/>
      <c r="Q231" s="587"/>
      <c r="R231" s="587"/>
      <c r="S231" s="587"/>
      <c r="T231" s="581"/>
      <c r="U231" s="581"/>
      <c r="V231" s="581"/>
      <c r="W231" s="581"/>
      <c r="X231" s="581"/>
      <c r="Y231" s="581"/>
      <c r="Z231" s="581"/>
      <c r="AA231" s="582"/>
      <c r="AB231" s="582"/>
      <c r="AC231" s="582"/>
      <c r="AD231" s="582"/>
      <c r="AE231" s="582"/>
      <c r="AF231" s="582"/>
      <c r="AG231" s="582"/>
      <c r="AH231" s="582"/>
      <c r="AI231" s="582"/>
      <c r="AJ231" s="582"/>
      <c r="AK231" s="582"/>
      <c r="AL231" s="582"/>
      <c r="AM231" s="582"/>
      <c r="AN231" s="582"/>
      <c r="AO231" s="582"/>
      <c r="AP231" s="582"/>
      <c r="AQ231" s="582"/>
      <c r="AR231" s="582"/>
      <c r="AS231" s="582"/>
      <c r="AT231" s="582"/>
      <c r="AU231" s="582"/>
      <c r="AV231" s="582"/>
      <c r="AW231" s="582"/>
      <c r="AX231" s="582"/>
      <c r="AY231" s="582"/>
      <c r="AZ231" s="582"/>
      <c r="BA231" s="582"/>
      <c r="BB231" s="582"/>
      <c r="BC231" s="582"/>
      <c r="BD231" s="582"/>
    </row>
    <row r="232" spans="2:56" s="583" customFormat="1" x14ac:dyDescent="0.3">
      <c r="B232" s="587"/>
      <c r="C232" s="587"/>
      <c r="D232" s="621"/>
      <c r="E232" s="614"/>
      <c r="F232" s="614"/>
      <c r="G232" s="614"/>
      <c r="H232" s="614"/>
      <c r="I232" s="614"/>
      <c r="J232" s="614"/>
      <c r="K232" s="614"/>
      <c r="L232" s="614"/>
      <c r="M232" s="614"/>
      <c r="N232" s="614"/>
      <c r="O232" s="614"/>
      <c r="P232" s="622"/>
      <c r="Q232" s="587"/>
      <c r="R232" s="587"/>
      <c r="S232" s="587"/>
      <c r="T232" s="581"/>
      <c r="U232" s="581"/>
      <c r="V232" s="581"/>
      <c r="W232" s="581"/>
      <c r="X232" s="581"/>
      <c r="Y232" s="581"/>
      <c r="Z232" s="581"/>
      <c r="AA232" s="582"/>
      <c r="AB232" s="582"/>
      <c r="AC232" s="582"/>
      <c r="AD232" s="582"/>
      <c r="AE232" s="582"/>
      <c r="AF232" s="582"/>
      <c r="AG232" s="582"/>
      <c r="AH232" s="582"/>
      <c r="AI232" s="582"/>
      <c r="AJ232" s="582"/>
      <c r="AK232" s="582"/>
      <c r="AL232" s="582"/>
      <c r="AM232" s="582"/>
      <c r="AN232" s="582"/>
      <c r="AO232" s="582"/>
      <c r="AP232" s="582"/>
      <c r="AQ232" s="582"/>
      <c r="AR232" s="582"/>
      <c r="AS232" s="582"/>
      <c r="AT232" s="582"/>
      <c r="AU232" s="582"/>
      <c r="AV232" s="582"/>
      <c r="AW232" s="582"/>
      <c r="AX232" s="582"/>
      <c r="AY232" s="582"/>
      <c r="AZ232" s="582"/>
      <c r="BA232" s="582"/>
      <c r="BB232" s="582"/>
      <c r="BC232" s="582"/>
      <c r="BD232" s="582"/>
    </row>
    <row r="233" spans="2:56" s="583" customFormat="1" x14ac:dyDescent="0.3">
      <c r="B233" s="587"/>
      <c r="C233" s="587"/>
      <c r="D233" s="621"/>
      <c r="E233" s="614"/>
      <c r="F233" s="614"/>
      <c r="G233" s="614"/>
      <c r="H233" s="614"/>
      <c r="I233" s="614"/>
      <c r="J233" s="614"/>
      <c r="K233" s="614"/>
      <c r="L233" s="614"/>
      <c r="M233" s="614"/>
      <c r="N233" s="614"/>
      <c r="O233" s="614"/>
      <c r="P233" s="622"/>
      <c r="Q233" s="587"/>
      <c r="R233" s="587"/>
      <c r="S233" s="587"/>
      <c r="T233" s="581"/>
      <c r="U233" s="581"/>
      <c r="V233" s="581"/>
      <c r="W233" s="581"/>
      <c r="X233" s="581"/>
      <c r="Y233" s="581"/>
      <c r="Z233" s="581"/>
      <c r="AA233" s="582"/>
      <c r="AB233" s="582"/>
      <c r="AC233" s="582"/>
      <c r="AD233" s="582"/>
      <c r="AE233" s="582"/>
      <c r="AF233" s="582"/>
      <c r="AG233" s="582"/>
      <c r="AH233" s="582"/>
      <c r="AI233" s="582"/>
      <c r="AJ233" s="582"/>
      <c r="AK233" s="582"/>
      <c r="AL233" s="582"/>
      <c r="AM233" s="582"/>
      <c r="AN233" s="582"/>
      <c r="AO233" s="582"/>
      <c r="AP233" s="582"/>
      <c r="AQ233" s="582"/>
      <c r="AR233" s="582"/>
      <c r="AS233" s="582"/>
      <c r="AT233" s="582"/>
      <c r="AU233" s="582"/>
      <c r="AV233" s="582"/>
      <c r="AW233" s="582"/>
      <c r="AX233" s="582"/>
      <c r="AY233" s="582"/>
      <c r="AZ233" s="582"/>
      <c r="BA233" s="582"/>
      <c r="BB233" s="582"/>
      <c r="BC233" s="582"/>
      <c r="BD233" s="582"/>
    </row>
    <row r="234" spans="2:56" s="583" customFormat="1" x14ac:dyDescent="0.3">
      <c r="B234" s="587"/>
      <c r="C234" s="587"/>
      <c r="D234" s="621"/>
      <c r="E234" s="614"/>
      <c r="F234" s="614"/>
      <c r="G234" s="614"/>
      <c r="H234" s="614"/>
      <c r="I234" s="614"/>
      <c r="J234" s="614"/>
      <c r="K234" s="614"/>
      <c r="L234" s="614"/>
      <c r="M234" s="614"/>
      <c r="N234" s="614"/>
      <c r="O234" s="614"/>
      <c r="P234" s="622"/>
      <c r="Q234" s="587"/>
      <c r="R234" s="587"/>
      <c r="S234" s="587"/>
      <c r="T234" s="581"/>
      <c r="U234" s="581"/>
      <c r="V234" s="581"/>
      <c r="W234" s="581"/>
      <c r="X234" s="581"/>
      <c r="Y234" s="581"/>
      <c r="Z234" s="581"/>
      <c r="AA234" s="582"/>
      <c r="AB234" s="582"/>
      <c r="AC234" s="582"/>
      <c r="AD234" s="582"/>
      <c r="AE234" s="582"/>
      <c r="AF234" s="582"/>
      <c r="AG234" s="582"/>
      <c r="AH234" s="582"/>
      <c r="AI234" s="582"/>
      <c r="AJ234" s="582"/>
      <c r="AK234" s="582"/>
      <c r="AL234" s="582"/>
      <c r="AM234" s="582"/>
      <c r="AN234" s="582"/>
      <c r="AO234" s="582"/>
      <c r="AP234" s="582"/>
      <c r="AQ234" s="582"/>
      <c r="AR234" s="582"/>
      <c r="AS234" s="582"/>
      <c r="AT234" s="582"/>
      <c r="AU234" s="582"/>
      <c r="AV234" s="582"/>
      <c r="AW234" s="582"/>
      <c r="AX234" s="582"/>
      <c r="AY234" s="582"/>
      <c r="AZ234" s="582"/>
      <c r="BA234" s="582"/>
      <c r="BB234" s="582"/>
      <c r="BC234" s="582"/>
      <c r="BD234" s="582"/>
    </row>
    <row r="235" spans="2:56" s="583" customFormat="1" x14ac:dyDescent="0.3">
      <c r="B235" s="587"/>
      <c r="C235" s="587"/>
      <c r="D235" s="621"/>
      <c r="E235" s="614"/>
      <c r="F235" s="614"/>
      <c r="G235" s="614"/>
      <c r="H235" s="614"/>
      <c r="I235" s="614"/>
      <c r="J235" s="614"/>
      <c r="K235" s="614"/>
      <c r="L235" s="614"/>
      <c r="M235" s="614"/>
      <c r="N235" s="614"/>
      <c r="O235" s="614"/>
      <c r="P235" s="622"/>
      <c r="Q235" s="587"/>
      <c r="R235" s="587"/>
      <c r="S235" s="587"/>
      <c r="T235" s="581"/>
      <c r="U235" s="581"/>
      <c r="V235" s="581"/>
      <c r="W235" s="581"/>
      <c r="X235" s="581"/>
      <c r="Y235" s="581"/>
      <c r="Z235" s="581"/>
      <c r="AA235" s="582"/>
      <c r="AB235" s="582"/>
      <c r="AC235" s="582"/>
      <c r="AD235" s="582"/>
      <c r="AE235" s="582"/>
      <c r="AF235" s="582"/>
      <c r="AG235" s="582"/>
      <c r="AH235" s="582"/>
      <c r="AI235" s="582"/>
      <c r="AJ235" s="582"/>
      <c r="AK235" s="582"/>
      <c r="AL235" s="582"/>
      <c r="AM235" s="582"/>
      <c r="AN235" s="582"/>
      <c r="AO235" s="582"/>
      <c r="AP235" s="582"/>
      <c r="AQ235" s="582"/>
      <c r="AR235" s="582"/>
      <c r="AS235" s="582"/>
      <c r="AT235" s="582"/>
      <c r="AU235" s="582"/>
      <c r="AV235" s="582"/>
      <c r="AW235" s="582"/>
      <c r="AX235" s="582"/>
      <c r="AY235" s="582"/>
      <c r="AZ235" s="582"/>
      <c r="BA235" s="582"/>
      <c r="BB235" s="582"/>
      <c r="BC235" s="582"/>
      <c r="BD235" s="582"/>
    </row>
    <row r="236" spans="2:56" s="583" customFormat="1" x14ac:dyDescent="0.3">
      <c r="B236" s="587"/>
      <c r="C236" s="587"/>
      <c r="D236" s="621"/>
      <c r="E236" s="614"/>
      <c r="F236" s="614"/>
      <c r="G236" s="614"/>
      <c r="H236" s="614"/>
      <c r="I236" s="614"/>
      <c r="J236" s="614"/>
      <c r="K236" s="614"/>
      <c r="L236" s="614"/>
      <c r="M236" s="614"/>
      <c r="N236" s="614"/>
      <c r="O236" s="614"/>
      <c r="P236" s="622"/>
      <c r="Q236" s="587"/>
      <c r="R236" s="587"/>
      <c r="S236" s="587"/>
      <c r="T236" s="581"/>
      <c r="U236" s="581"/>
      <c r="V236" s="581"/>
      <c r="W236" s="581"/>
      <c r="X236" s="581"/>
      <c r="Y236" s="581"/>
      <c r="Z236" s="581"/>
      <c r="AA236" s="582"/>
      <c r="AB236" s="582"/>
      <c r="AC236" s="582"/>
      <c r="AD236" s="582"/>
      <c r="AE236" s="582"/>
      <c r="AF236" s="582"/>
      <c r="AG236" s="582"/>
      <c r="AH236" s="582"/>
      <c r="AI236" s="582"/>
      <c r="AJ236" s="582"/>
      <c r="AK236" s="582"/>
      <c r="AL236" s="582"/>
      <c r="AM236" s="582"/>
      <c r="AN236" s="582"/>
      <c r="AO236" s="582"/>
      <c r="AP236" s="582"/>
      <c r="AQ236" s="582"/>
      <c r="AR236" s="582"/>
      <c r="AS236" s="582"/>
      <c r="AT236" s="582"/>
      <c r="AU236" s="582"/>
      <c r="AV236" s="582"/>
      <c r="AW236" s="582"/>
      <c r="AX236" s="582"/>
      <c r="AY236" s="582"/>
      <c r="AZ236" s="582"/>
      <c r="BA236" s="582"/>
      <c r="BB236" s="582"/>
      <c r="BC236" s="582"/>
      <c r="BD236" s="582"/>
    </row>
    <row r="237" spans="2:56" s="583" customFormat="1" x14ac:dyDescent="0.3">
      <c r="B237" s="587"/>
      <c r="C237" s="587"/>
      <c r="D237" s="621"/>
      <c r="E237" s="614"/>
      <c r="F237" s="614"/>
      <c r="G237" s="614"/>
      <c r="H237" s="614"/>
      <c r="I237" s="614"/>
      <c r="J237" s="614"/>
      <c r="K237" s="614"/>
      <c r="L237" s="614"/>
      <c r="M237" s="614"/>
      <c r="N237" s="614"/>
      <c r="O237" s="614"/>
      <c r="P237" s="622"/>
      <c r="Q237" s="587"/>
      <c r="R237" s="587"/>
      <c r="S237" s="587"/>
      <c r="T237" s="581"/>
      <c r="U237" s="581"/>
      <c r="V237" s="581"/>
      <c r="W237" s="581"/>
      <c r="X237" s="581"/>
      <c r="Y237" s="581"/>
      <c r="Z237" s="581"/>
      <c r="AA237" s="582"/>
      <c r="AB237" s="582"/>
      <c r="AC237" s="582"/>
      <c r="AD237" s="582"/>
      <c r="AE237" s="582"/>
      <c r="AF237" s="582"/>
      <c r="AG237" s="582"/>
      <c r="AH237" s="582"/>
      <c r="AI237" s="582"/>
      <c r="AJ237" s="582"/>
      <c r="AK237" s="582"/>
      <c r="AL237" s="582"/>
      <c r="AM237" s="582"/>
      <c r="AN237" s="582"/>
      <c r="AO237" s="582"/>
      <c r="AP237" s="582"/>
      <c r="AQ237" s="582"/>
      <c r="AR237" s="582"/>
      <c r="AS237" s="582"/>
      <c r="AT237" s="582"/>
      <c r="AU237" s="582"/>
      <c r="AV237" s="582"/>
      <c r="AW237" s="582"/>
      <c r="AX237" s="582"/>
      <c r="AY237" s="582"/>
      <c r="AZ237" s="582"/>
      <c r="BA237" s="582"/>
      <c r="BB237" s="582"/>
      <c r="BC237" s="582"/>
      <c r="BD237" s="582"/>
    </row>
    <row r="238" spans="2:56" s="583" customFormat="1" x14ac:dyDescent="0.3">
      <c r="B238" s="587"/>
      <c r="C238" s="587"/>
      <c r="D238" s="621"/>
      <c r="E238" s="614"/>
      <c r="F238" s="614"/>
      <c r="G238" s="614"/>
      <c r="H238" s="614"/>
      <c r="I238" s="614"/>
      <c r="J238" s="614"/>
      <c r="K238" s="614"/>
      <c r="L238" s="614"/>
      <c r="M238" s="614"/>
      <c r="N238" s="614"/>
      <c r="O238" s="614"/>
      <c r="P238" s="622"/>
      <c r="Q238" s="587"/>
      <c r="R238" s="587"/>
      <c r="S238" s="587"/>
      <c r="T238" s="581"/>
      <c r="U238" s="581"/>
      <c r="V238" s="581"/>
      <c r="W238" s="581"/>
      <c r="X238" s="581"/>
      <c r="Y238" s="581"/>
      <c r="Z238" s="581"/>
      <c r="AA238" s="582"/>
      <c r="AB238" s="582"/>
      <c r="AC238" s="582"/>
      <c r="AD238" s="582"/>
      <c r="AE238" s="582"/>
      <c r="AF238" s="582"/>
      <c r="AG238" s="582"/>
      <c r="AH238" s="582"/>
      <c r="AI238" s="582"/>
      <c r="AJ238" s="582"/>
      <c r="AK238" s="582"/>
      <c r="AL238" s="582"/>
      <c r="AM238" s="582"/>
      <c r="AN238" s="582"/>
      <c r="AO238" s="582"/>
      <c r="AP238" s="582"/>
      <c r="AQ238" s="582"/>
      <c r="AR238" s="582"/>
      <c r="AS238" s="582"/>
      <c r="AT238" s="582"/>
      <c r="AU238" s="582"/>
      <c r="AV238" s="582"/>
      <c r="AW238" s="582"/>
      <c r="AX238" s="582"/>
      <c r="AY238" s="582"/>
      <c r="AZ238" s="582"/>
      <c r="BA238" s="582"/>
      <c r="BB238" s="582"/>
      <c r="BC238" s="582"/>
      <c r="BD238" s="582"/>
    </row>
    <row r="239" spans="2:56" s="583" customFormat="1" x14ac:dyDescent="0.3">
      <c r="B239" s="587"/>
      <c r="C239" s="587"/>
      <c r="D239" s="621"/>
      <c r="E239" s="614"/>
      <c r="F239" s="614"/>
      <c r="G239" s="614"/>
      <c r="H239" s="614"/>
      <c r="I239" s="614"/>
      <c r="J239" s="614"/>
      <c r="K239" s="614"/>
      <c r="L239" s="614"/>
      <c r="M239" s="614"/>
      <c r="N239" s="614"/>
      <c r="O239" s="614"/>
      <c r="P239" s="622"/>
      <c r="Q239" s="587"/>
      <c r="R239" s="587"/>
      <c r="S239" s="587"/>
      <c r="T239" s="581"/>
      <c r="U239" s="581"/>
      <c r="V239" s="581"/>
      <c r="W239" s="581"/>
      <c r="X239" s="581"/>
      <c r="Y239" s="581"/>
      <c r="Z239" s="581"/>
      <c r="AA239" s="582"/>
      <c r="AB239" s="582"/>
      <c r="AC239" s="582"/>
      <c r="AD239" s="582"/>
      <c r="AE239" s="582"/>
      <c r="AF239" s="582"/>
      <c r="AG239" s="582"/>
      <c r="AH239" s="582"/>
      <c r="AI239" s="582"/>
      <c r="AJ239" s="582"/>
      <c r="AK239" s="582"/>
      <c r="AL239" s="582"/>
      <c r="AM239" s="582"/>
      <c r="AN239" s="582"/>
      <c r="AO239" s="582"/>
      <c r="AP239" s="582"/>
      <c r="AQ239" s="582"/>
      <c r="AR239" s="582"/>
      <c r="AS239" s="582"/>
      <c r="AT239" s="582"/>
      <c r="AU239" s="582"/>
      <c r="AV239" s="582"/>
      <c r="AW239" s="582"/>
      <c r="AX239" s="582"/>
      <c r="AY239" s="582"/>
      <c r="AZ239" s="582"/>
      <c r="BA239" s="582"/>
      <c r="BB239" s="582"/>
      <c r="BC239" s="582"/>
      <c r="BD239" s="582"/>
    </row>
    <row r="240" spans="2:56" s="583" customFormat="1" x14ac:dyDescent="0.3">
      <c r="B240" s="587"/>
      <c r="C240" s="587"/>
      <c r="D240" s="621"/>
      <c r="E240" s="614"/>
      <c r="F240" s="614"/>
      <c r="G240" s="614"/>
      <c r="H240" s="614"/>
      <c r="I240" s="614"/>
      <c r="J240" s="614"/>
      <c r="K240" s="614"/>
      <c r="L240" s="614"/>
      <c r="M240" s="614"/>
      <c r="N240" s="614"/>
      <c r="O240" s="614"/>
      <c r="P240" s="622"/>
      <c r="Q240" s="587"/>
      <c r="R240" s="587"/>
      <c r="S240" s="587"/>
      <c r="T240" s="581"/>
      <c r="U240" s="581"/>
      <c r="V240" s="581"/>
      <c r="W240" s="581"/>
      <c r="X240" s="581"/>
      <c r="Y240" s="581"/>
      <c r="Z240" s="581"/>
      <c r="AA240" s="582"/>
      <c r="AB240" s="582"/>
      <c r="AC240" s="582"/>
      <c r="AD240" s="582"/>
      <c r="AE240" s="582"/>
      <c r="AF240" s="582"/>
      <c r="AG240" s="582"/>
      <c r="AH240" s="582"/>
      <c r="AI240" s="582"/>
      <c r="AJ240" s="582"/>
      <c r="AK240" s="582"/>
      <c r="AL240" s="582"/>
      <c r="AM240" s="582"/>
      <c r="AN240" s="582"/>
      <c r="AO240" s="582"/>
      <c r="AP240" s="582"/>
      <c r="AQ240" s="582"/>
      <c r="AR240" s="582"/>
      <c r="AS240" s="582"/>
      <c r="AT240" s="582"/>
      <c r="AU240" s="582"/>
      <c r="AV240" s="582"/>
      <c r="AW240" s="582"/>
      <c r="AX240" s="582"/>
      <c r="AY240" s="582"/>
      <c r="AZ240" s="582"/>
      <c r="BA240" s="582"/>
      <c r="BB240" s="582"/>
      <c r="BC240" s="582"/>
      <c r="BD240" s="582"/>
    </row>
    <row r="241" spans="2:85" s="583" customFormat="1" x14ac:dyDescent="0.3">
      <c r="B241" s="587"/>
      <c r="C241" s="587"/>
      <c r="D241" s="621"/>
      <c r="E241" s="614"/>
      <c r="F241" s="614"/>
      <c r="G241" s="614"/>
      <c r="H241" s="614"/>
      <c r="I241" s="614"/>
      <c r="J241" s="614"/>
      <c r="K241" s="614"/>
      <c r="L241" s="614"/>
      <c r="M241" s="614"/>
      <c r="N241" s="614"/>
      <c r="O241" s="614"/>
      <c r="P241" s="622"/>
      <c r="Q241" s="587"/>
      <c r="R241" s="587"/>
      <c r="S241" s="587"/>
      <c r="T241" s="581"/>
      <c r="U241" s="581"/>
      <c r="V241" s="581"/>
      <c r="W241" s="581"/>
      <c r="X241" s="581"/>
      <c r="Y241" s="581"/>
      <c r="Z241" s="581"/>
      <c r="AA241" s="582"/>
      <c r="AB241" s="582"/>
      <c r="AC241" s="582"/>
      <c r="AD241" s="582"/>
      <c r="AE241" s="582"/>
      <c r="AF241" s="582"/>
      <c r="AG241" s="582"/>
      <c r="AH241" s="582"/>
      <c r="AI241" s="582"/>
      <c r="AJ241" s="582"/>
      <c r="AK241" s="582"/>
      <c r="AL241" s="582"/>
      <c r="AM241" s="582"/>
      <c r="AN241" s="582"/>
      <c r="AO241" s="582"/>
      <c r="AP241" s="582"/>
      <c r="AQ241" s="582"/>
      <c r="AR241" s="582"/>
      <c r="AS241" s="582"/>
      <c r="AT241" s="582"/>
      <c r="AU241" s="582"/>
      <c r="AV241" s="582"/>
      <c r="AW241" s="582"/>
      <c r="AX241" s="582"/>
      <c r="AY241" s="582"/>
      <c r="AZ241" s="582"/>
      <c r="BA241" s="582"/>
      <c r="BB241" s="582"/>
      <c r="BC241" s="582"/>
      <c r="BD241" s="582"/>
    </row>
    <row r="242" spans="2:85" s="583" customFormat="1" x14ac:dyDescent="0.3">
      <c r="B242" s="587"/>
      <c r="C242" s="587"/>
      <c r="D242" s="621"/>
      <c r="E242" s="614"/>
      <c r="F242" s="614"/>
      <c r="G242" s="614"/>
      <c r="H242" s="614"/>
      <c r="I242" s="614"/>
      <c r="J242" s="614"/>
      <c r="K242" s="614"/>
      <c r="L242" s="614"/>
      <c r="M242" s="614"/>
      <c r="N242" s="614"/>
      <c r="O242" s="614"/>
      <c r="P242" s="622"/>
      <c r="Q242" s="587"/>
      <c r="R242" s="587"/>
      <c r="S242" s="587"/>
      <c r="T242" s="581"/>
      <c r="U242" s="581"/>
      <c r="V242" s="581"/>
      <c r="W242" s="581"/>
      <c r="X242" s="581"/>
      <c r="Y242" s="581"/>
      <c r="Z242" s="581"/>
      <c r="AA242" s="582"/>
      <c r="AB242" s="582"/>
      <c r="AC242" s="582"/>
      <c r="AD242" s="582"/>
      <c r="AE242" s="582"/>
      <c r="AF242" s="582"/>
      <c r="AG242" s="582"/>
      <c r="AH242" s="582"/>
      <c r="AI242" s="582"/>
      <c r="AJ242" s="582"/>
      <c r="AK242" s="582"/>
      <c r="AL242" s="582"/>
      <c r="AM242" s="582"/>
      <c r="AN242" s="582"/>
      <c r="AO242" s="582"/>
      <c r="AP242" s="582"/>
      <c r="AQ242" s="582"/>
      <c r="AR242" s="582"/>
      <c r="AS242" s="582"/>
      <c r="AT242" s="582"/>
      <c r="AU242" s="582"/>
      <c r="AV242" s="582"/>
      <c r="AW242" s="582"/>
      <c r="AX242" s="582"/>
      <c r="AY242" s="582"/>
      <c r="AZ242" s="582"/>
      <c r="BA242" s="582"/>
      <c r="BB242" s="582"/>
      <c r="BC242" s="582"/>
      <c r="BD242" s="582"/>
    </row>
    <row r="243" spans="2:85" s="583" customFormat="1" x14ac:dyDescent="0.3">
      <c r="B243" s="587"/>
      <c r="C243" s="587"/>
      <c r="D243" s="627"/>
      <c r="E243" s="628"/>
      <c r="F243" s="628"/>
      <c r="G243" s="628"/>
      <c r="H243" s="628"/>
      <c r="I243" s="628"/>
      <c r="J243" s="628"/>
      <c r="K243" s="628"/>
      <c r="L243" s="628"/>
      <c r="M243" s="628"/>
      <c r="N243" s="628"/>
      <c r="O243" s="628"/>
      <c r="P243" s="629"/>
      <c r="Q243" s="587"/>
      <c r="R243" s="587"/>
      <c r="S243" s="587"/>
      <c r="T243" s="581"/>
      <c r="U243" s="581"/>
      <c r="V243" s="581"/>
      <c r="W243" s="581"/>
      <c r="X243" s="581"/>
      <c r="Y243" s="581"/>
      <c r="Z243" s="581"/>
      <c r="AA243" s="582"/>
      <c r="AB243" s="582"/>
      <c r="AC243" s="582"/>
      <c r="AD243" s="582"/>
      <c r="AE243" s="582"/>
      <c r="AF243" s="582"/>
      <c r="AG243" s="582"/>
      <c r="AH243" s="582"/>
      <c r="AI243" s="582"/>
      <c r="AJ243" s="582"/>
      <c r="AK243" s="582"/>
      <c r="AL243" s="582"/>
      <c r="AM243" s="582"/>
      <c r="AN243" s="582"/>
      <c r="AO243" s="582"/>
      <c r="AP243" s="582"/>
      <c r="AQ243" s="582"/>
      <c r="AR243" s="582"/>
      <c r="AS243" s="582"/>
      <c r="AT243" s="582"/>
      <c r="AU243" s="582"/>
      <c r="AV243" s="582"/>
      <c r="AW243" s="582"/>
      <c r="AX243" s="582"/>
      <c r="AY243" s="582"/>
      <c r="AZ243" s="582"/>
      <c r="BA243" s="582"/>
      <c r="BB243" s="582"/>
      <c r="BC243" s="582"/>
      <c r="BD243" s="582"/>
    </row>
    <row r="244" spans="2:85" s="583" customFormat="1" x14ac:dyDescent="0.3">
      <c r="B244" s="587"/>
      <c r="C244" s="587"/>
      <c r="D244" s="587"/>
      <c r="E244" s="587"/>
      <c r="F244" s="587"/>
      <c r="G244" s="587"/>
      <c r="H244" s="587"/>
      <c r="I244" s="587"/>
      <c r="J244" s="587"/>
      <c r="K244" s="587"/>
      <c r="L244" s="587"/>
      <c r="M244" s="587"/>
      <c r="N244" s="587"/>
      <c r="O244" s="587"/>
      <c r="P244" s="587"/>
      <c r="Q244" s="587"/>
      <c r="R244" s="587"/>
      <c r="S244" s="587"/>
      <c r="T244" s="581"/>
      <c r="U244" s="581"/>
      <c r="V244" s="581"/>
      <c r="W244" s="581"/>
      <c r="X244" s="581"/>
      <c r="Y244" s="581"/>
      <c r="Z244" s="581"/>
      <c r="AA244" s="582"/>
      <c r="AB244" s="582"/>
      <c r="AC244" s="582"/>
      <c r="AD244" s="582"/>
      <c r="AE244" s="582"/>
      <c r="AF244" s="582"/>
      <c r="AG244" s="582"/>
      <c r="AH244" s="582"/>
      <c r="AI244" s="582"/>
      <c r="AJ244" s="582"/>
      <c r="AK244" s="582"/>
      <c r="AL244" s="582"/>
      <c r="AM244" s="582"/>
      <c r="AN244" s="582"/>
      <c r="AO244" s="582"/>
      <c r="AP244" s="582"/>
      <c r="AQ244" s="582"/>
      <c r="AR244" s="582"/>
      <c r="AS244" s="582"/>
      <c r="AT244" s="582"/>
      <c r="AU244" s="582"/>
      <c r="AV244" s="582"/>
      <c r="AW244" s="582"/>
      <c r="AX244" s="582"/>
      <c r="AY244" s="582"/>
      <c r="AZ244" s="582"/>
      <c r="BA244" s="582"/>
      <c r="BB244" s="582"/>
      <c r="BC244" s="582"/>
      <c r="BD244" s="582"/>
    </row>
    <row r="245" spans="2:85" s="583" customFormat="1" hidden="1" x14ac:dyDescent="0.3">
      <c r="B245" s="587"/>
      <c r="C245" s="587"/>
      <c r="D245" s="587"/>
      <c r="E245" s="587"/>
      <c r="F245" s="587"/>
      <c r="G245" s="587"/>
      <c r="H245" s="587"/>
      <c r="I245" s="587"/>
      <c r="J245" s="587"/>
      <c r="K245" s="587"/>
      <c r="L245" s="587"/>
      <c r="M245" s="587"/>
      <c r="N245" s="587"/>
      <c r="O245" s="587"/>
      <c r="P245" s="587"/>
      <c r="Q245" s="587"/>
      <c r="R245" s="587"/>
      <c r="S245" s="587"/>
      <c r="T245" s="581"/>
      <c r="U245" s="581"/>
      <c r="V245" s="581"/>
      <c r="W245" s="581"/>
      <c r="X245" s="581"/>
      <c r="Y245" s="581"/>
      <c r="Z245" s="581"/>
      <c r="AA245" s="582"/>
      <c r="AB245" s="582"/>
      <c r="AC245" s="582"/>
      <c r="AD245" s="582"/>
      <c r="AE245" s="582"/>
      <c r="AF245" s="582"/>
      <c r="AG245" s="582"/>
      <c r="AH245" s="582"/>
      <c r="AI245" s="582"/>
      <c r="AJ245" s="582"/>
      <c r="AK245" s="582"/>
      <c r="AL245" s="582"/>
      <c r="AM245" s="582"/>
      <c r="AN245" s="582"/>
      <c r="AO245" s="582"/>
      <c r="AP245" s="582"/>
      <c r="AQ245" s="582"/>
      <c r="AR245" s="582"/>
      <c r="AS245" s="582"/>
      <c r="AT245" s="582"/>
      <c r="AU245" s="582"/>
      <c r="AV245" s="582"/>
      <c r="AW245" s="582"/>
      <c r="AX245" s="582"/>
      <c r="AY245" s="582"/>
      <c r="AZ245" s="582"/>
      <c r="BA245" s="582"/>
      <c r="BB245" s="582"/>
      <c r="BC245" s="582"/>
      <c r="BD245" s="582"/>
    </row>
    <row r="246" spans="2:85" hidden="1" x14ac:dyDescent="0.3">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38"/>
    </row>
    <row r="247" spans="2:85" hidden="1" x14ac:dyDescent="0.3">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row>
    <row r="248" spans="2:85" hidden="1" x14ac:dyDescent="0.3">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row>
    <row r="249" spans="2:85" hidden="1" x14ac:dyDescent="0.3">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row>
    <row r="250" spans="2:85" hidden="1" x14ac:dyDescent="0.3">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row>
    <row r="251" spans="2:85" hidden="1" x14ac:dyDescent="0.3">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row>
    <row r="252" spans="2:85" hidden="1" x14ac:dyDescent="0.3">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row>
    <row r="253" spans="2:85" hidden="1" x14ac:dyDescent="0.3">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row>
    <row r="254" spans="2:85" hidden="1" x14ac:dyDescent="0.3">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row>
    <row r="255" spans="2:85" hidden="1" x14ac:dyDescent="0.3">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row>
    <row r="256" spans="2:85" hidden="1" x14ac:dyDescent="0.3">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row>
    <row r="257" spans="4:85" hidden="1" x14ac:dyDescent="0.3">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row>
    <row r="258" spans="4:85" hidden="1" x14ac:dyDescent="0.3">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row>
    <row r="259" spans="4:85" hidden="1" x14ac:dyDescent="0.3">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c r="CG259" s="38"/>
    </row>
    <row r="260" spans="4:85" hidden="1" x14ac:dyDescent="0.3">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38"/>
    </row>
    <row r="261" spans="4:85" hidden="1" x14ac:dyDescent="0.3">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row>
    <row r="262" spans="4:85" hidden="1" x14ac:dyDescent="0.3">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row>
    <row r="263" spans="4:85" hidden="1" x14ac:dyDescent="0.3">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row>
    <row r="264" spans="4:85" hidden="1" x14ac:dyDescent="0.3">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row>
    <row r="265" spans="4:85" hidden="1" x14ac:dyDescent="0.3">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row>
    <row r="266" spans="4:85" hidden="1" x14ac:dyDescent="0.3">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row>
    <row r="267" spans="4:85" hidden="1" x14ac:dyDescent="0.3">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row>
    <row r="268" spans="4:85" hidden="1" x14ac:dyDescent="0.3">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row>
    <row r="269" spans="4:85" hidden="1" x14ac:dyDescent="0.3">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row>
    <row r="270" spans="4:85" hidden="1" x14ac:dyDescent="0.3">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row>
    <row r="271" spans="4:85" hidden="1" x14ac:dyDescent="0.3">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row>
    <row r="272" spans="4:85" hidden="1" x14ac:dyDescent="0.3">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row>
    <row r="273" spans="4:85" hidden="1" x14ac:dyDescent="0.3">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c r="BQ273" s="38"/>
      <c r="BR273" s="38"/>
      <c r="BS273" s="38"/>
      <c r="BT273" s="38"/>
      <c r="BU273" s="38"/>
      <c r="BV273" s="38"/>
      <c r="BW273" s="38"/>
      <c r="BX273" s="38"/>
      <c r="BY273" s="38"/>
      <c r="BZ273" s="38"/>
      <c r="CA273" s="38"/>
      <c r="CB273" s="38"/>
      <c r="CC273" s="38"/>
      <c r="CD273" s="38"/>
      <c r="CE273" s="38"/>
      <c r="CF273" s="38"/>
      <c r="CG273" s="38"/>
    </row>
    <row r="274" spans="4:85" hidden="1" x14ac:dyDescent="0.3">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row>
    <row r="275" spans="4:85" hidden="1" x14ac:dyDescent="0.3">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38"/>
    </row>
    <row r="276" spans="4:85" hidden="1" x14ac:dyDescent="0.3">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row>
    <row r="277" spans="4:85" hidden="1" x14ac:dyDescent="0.3">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8"/>
      <c r="BZ277" s="38"/>
      <c r="CA277" s="38"/>
      <c r="CB277" s="38"/>
      <c r="CC277" s="38"/>
      <c r="CD277" s="38"/>
      <c r="CE277" s="38"/>
      <c r="CF277" s="38"/>
      <c r="CG277" s="38"/>
    </row>
    <row r="278" spans="4:85" hidden="1" x14ac:dyDescent="0.3">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c r="BQ278" s="38"/>
      <c r="BR278" s="38"/>
      <c r="BS278" s="38"/>
      <c r="BT278" s="38"/>
      <c r="BU278" s="38"/>
      <c r="BV278" s="38"/>
      <c r="BW278" s="38"/>
      <c r="BX278" s="38"/>
      <c r="BY278" s="38"/>
      <c r="BZ278" s="38"/>
      <c r="CA278" s="38"/>
      <c r="CB278" s="38"/>
      <c r="CC278" s="38"/>
      <c r="CD278" s="38"/>
      <c r="CE278" s="38"/>
      <c r="CF278" s="38"/>
      <c r="CG278" s="38"/>
    </row>
    <row r="279" spans="4:85" hidden="1" x14ac:dyDescent="0.3">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c r="BQ279" s="38"/>
      <c r="BR279" s="38"/>
      <c r="BS279" s="38"/>
      <c r="BT279" s="38"/>
      <c r="BU279" s="38"/>
      <c r="BV279" s="38"/>
      <c r="BW279" s="38"/>
      <c r="BX279" s="38"/>
      <c r="BY279" s="38"/>
      <c r="BZ279" s="38"/>
      <c r="CA279" s="38"/>
      <c r="CB279" s="38"/>
      <c r="CC279" s="38"/>
      <c r="CD279" s="38"/>
      <c r="CE279" s="38"/>
      <c r="CF279" s="38"/>
      <c r="CG279" s="38"/>
    </row>
    <row r="280" spans="4:85" hidden="1" x14ac:dyDescent="0.3">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row>
    <row r="281" spans="4:85" hidden="1" x14ac:dyDescent="0.3">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row>
    <row r="282" spans="4:85" hidden="1" x14ac:dyDescent="0.3">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row>
    <row r="283" spans="4:85" hidden="1" x14ac:dyDescent="0.3">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38"/>
    </row>
    <row r="284" spans="4:85" hidden="1" x14ac:dyDescent="0.3">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8"/>
      <c r="BR284" s="38"/>
      <c r="BS284" s="38"/>
      <c r="BT284" s="38"/>
      <c r="BU284" s="38"/>
      <c r="BV284" s="38"/>
      <c r="BW284" s="38"/>
      <c r="BX284" s="38"/>
      <c r="BY284" s="38"/>
      <c r="BZ284" s="38"/>
      <c r="CA284" s="38"/>
      <c r="CB284" s="38"/>
      <c r="CC284" s="38"/>
      <c r="CD284" s="38"/>
      <c r="CE284" s="38"/>
      <c r="CF284" s="38"/>
      <c r="CG284" s="38"/>
    </row>
    <row r="285" spans="4:85" hidden="1" x14ac:dyDescent="0.3">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row>
    <row r="286" spans="4:85" hidden="1" x14ac:dyDescent="0.3">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row>
    <row r="287" spans="4:85" hidden="1" x14ac:dyDescent="0.3">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row>
    <row r="288" spans="4:85" hidden="1" x14ac:dyDescent="0.3">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row>
    <row r="289" spans="4:85" hidden="1" x14ac:dyDescent="0.3">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38"/>
    </row>
    <row r="290" spans="4:85" hidden="1" x14ac:dyDescent="0.3">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row>
    <row r="291" spans="4:85" hidden="1" x14ac:dyDescent="0.3">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row>
    <row r="292" spans="4:85" hidden="1" x14ac:dyDescent="0.3">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row>
    <row r="293" spans="4:85" hidden="1" x14ac:dyDescent="0.3">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row>
    <row r="294" spans="4:85" hidden="1" x14ac:dyDescent="0.3">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row>
    <row r="295" spans="4:85" hidden="1" x14ac:dyDescent="0.3">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row>
    <row r="296" spans="4:85" hidden="1" x14ac:dyDescent="0.3">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38"/>
      <c r="BS296" s="38"/>
      <c r="BT296" s="38"/>
      <c r="BU296" s="38"/>
      <c r="BV296" s="38"/>
      <c r="BW296" s="38"/>
      <c r="BX296" s="38"/>
      <c r="BY296" s="38"/>
      <c r="BZ296" s="38"/>
      <c r="CA296" s="38"/>
      <c r="CB296" s="38"/>
      <c r="CC296" s="38"/>
      <c r="CD296" s="38"/>
      <c r="CE296" s="38"/>
      <c r="CF296" s="38"/>
      <c r="CG296" s="38"/>
    </row>
    <row r="297" spans="4:85" hidden="1" x14ac:dyDescent="0.3">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38"/>
    </row>
    <row r="298" spans="4:85" hidden="1" x14ac:dyDescent="0.3">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c r="BT298" s="38"/>
      <c r="BU298" s="38"/>
      <c r="BV298" s="38"/>
      <c r="BW298" s="38"/>
      <c r="BX298" s="38"/>
      <c r="BY298" s="38"/>
      <c r="BZ298" s="38"/>
      <c r="CA298" s="38"/>
      <c r="CB298" s="38"/>
      <c r="CC298" s="38"/>
      <c r="CD298" s="38"/>
      <c r="CE298" s="38"/>
      <c r="CF298" s="38"/>
      <c r="CG298" s="38"/>
    </row>
    <row r="299" spans="4:85" hidden="1" x14ac:dyDescent="0.3">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38"/>
    </row>
    <row r="300" spans="4:85" hidden="1" x14ac:dyDescent="0.3">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row>
    <row r="301" spans="4:85" hidden="1" x14ac:dyDescent="0.3">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row>
    <row r="302" spans="4:85" hidden="1" x14ac:dyDescent="0.3">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row>
    <row r="303" spans="4:85" hidden="1" x14ac:dyDescent="0.3">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row>
    <row r="304" spans="4:85" hidden="1" x14ac:dyDescent="0.3">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row>
    <row r="305" spans="4:85" hidden="1" x14ac:dyDescent="0.3">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row>
    <row r="306" spans="4:85" hidden="1" x14ac:dyDescent="0.3">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row>
    <row r="307" spans="4:85" hidden="1" x14ac:dyDescent="0.3">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row>
    <row r="308" spans="4:85" hidden="1" x14ac:dyDescent="0.3">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row>
    <row r="309" spans="4:85" hidden="1" x14ac:dyDescent="0.3">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row>
    <row r="310" spans="4:85" hidden="1" x14ac:dyDescent="0.3">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row>
    <row r="311" spans="4:85" hidden="1" x14ac:dyDescent="0.3">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row>
    <row r="312" spans="4:85" hidden="1" x14ac:dyDescent="0.3">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row>
    <row r="313" spans="4:85" hidden="1" x14ac:dyDescent="0.3">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row>
    <row r="314" spans="4:85" hidden="1" x14ac:dyDescent="0.3">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row>
    <row r="315" spans="4:85" hidden="1" x14ac:dyDescent="0.3">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row>
    <row r="316" spans="4:85" hidden="1" x14ac:dyDescent="0.3">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row>
    <row r="317" spans="4:85" hidden="1" x14ac:dyDescent="0.3">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row>
    <row r="318" spans="4:85" hidden="1" x14ac:dyDescent="0.3">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row>
    <row r="319" spans="4:85" hidden="1" x14ac:dyDescent="0.3">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row>
    <row r="320" spans="4:85" hidden="1" x14ac:dyDescent="0.3">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row>
    <row r="321" spans="4:85" hidden="1" x14ac:dyDescent="0.3">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row>
    <row r="322" spans="4:85" hidden="1" x14ac:dyDescent="0.3">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row>
    <row r="323" spans="4:85" hidden="1" x14ac:dyDescent="0.3">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row>
    <row r="324" spans="4:85" hidden="1" x14ac:dyDescent="0.3">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row>
    <row r="325" spans="4:85" hidden="1" x14ac:dyDescent="0.3">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row>
    <row r="326" spans="4:85" hidden="1" x14ac:dyDescent="0.3">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row>
    <row r="327" spans="4:85" hidden="1" x14ac:dyDescent="0.3">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row>
    <row r="328" spans="4:85" hidden="1" x14ac:dyDescent="0.3">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38"/>
    </row>
    <row r="329" spans="4:85" hidden="1" x14ac:dyDescent="0.3">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row>
    <row r="330" spans="4:85" hidden="1" x14ac:dyDescent="0.3">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row>
    <row r="331" spans="4:85" hidden="1" x14ac:dyDescent="0.3">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row>
    <row r="332" spans="4:85" hidden="1" x14ac:dyDescent="0.3">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row>
    <row r="333" spans="4:85" hidden="1" x14ac:dyDescent="0.3">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row>
    <row r="334" spans="4:85" hidden="1" x14ac:dyDescent="0.3">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38"/>
    </row>
    <row r="335" spans="4:85" hidden="1" x14ac:dyDescent="0.3">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row>
    <row r="336" spans="4:85" hidden="1" x14ac:dyDescent="0.3">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38"/>
    </row>
    <row r="337" spans="4:85" hidden="1" x14ac:dyDescent="0.3">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38"/>
    </row>
    <row r="338" spans="4:85" hidden="1" x14ac:dyDescent="0.3">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row>
    <row r="339" spans="4:85" hidden="1" x14ac:dyDescent="0.3">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38"/>
    </row>
    <row r="340" spans="4:85" hidden="1" x14ac:dyDescent="0.3">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c r="BQ340" s="38"/>
      <c r="BR340" s="38"/>
      <c r="BS340" s="38"/>
      <c r="BT340" s="38"/>
      <c r="BU340" s="38"/>
      <c r="BV340" s="38"/>
      <c r="BW340" s="38"/>
      <c r="BX340" s="38"/>
      <c r="BY340" s="38"/>
      <c r="BZ340" s="38"/>
      <c r="CA340" s="38"/>
      <c r="CB340" s="38"/>
      <c r="CC340" s="38"/>
      <c r="CD340" s="38"/>
      <c r="CE340" s="38"/>
      <c r="CF340" s="38"/>
      <c r="CG340" s="38"/>
    </row>
    <row r="341" spans="4:85" hidden="1" x14ac:dyDescent="0.3">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row>
    <row r="342" spans="4:85" hidden="1" x14ac:dyDescent="0.3">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38"/>
    </row>
    <row r="343" spans="4:85" hidden="1" x14ac:dyDescent="0.3">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row>
    <row r="344" spans="4:85" hidden="1" x14ac:dyDescent="0.3">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row>
    <row r="345" spans="4:85" hidden="1" x14ac:dyDescent="0.3">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row>
    <row r="346" spans="4:85" hidden="1" x14ac:dyDescent="0.3">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row>
    <row r="347" spans="4:85" hidden="1" x14ac:dyDescent="0.3">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row>
    <row r="348" spans="4:85" hidden="1" x14ac:dyDescent="0.3">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row>
    <row r="349" spans="4:85" hidden="1" x14ac:dyDescent="0.3">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row>
    <row r="350" spans="4:85" hidden="1" x14ac:dyDescent="0.3">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38"/>
    </row>
    <row r="351" spans="4:85" hidden="1" x14ac:dyDescent="0.3">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row>
    <row r="352" spans="4:85" hidden="1" x14ac:dyDescent="0.3">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row>
    <row r="353" spans="4:85" hidden="1" x14ac:dyDescent="0.3">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row>
    <row r="354" spans="4:85" hidden="1" x14ac:dyDescent="0.3">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row>
    <row r="355" spans="4:85" hidden="1" x14ac:dyDescent="0.3">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row>
    <row r="356" spans="4:85" hidden="1" x14ac:dyDescent="0.3">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row>
    <row r="357" spans="4:85" hidden="1" x14ac:dyDescent="0.3">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row>
    <row r="358" spans="4:85" hidden="1" x14ac:dyDescent="0.3">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row>
    <row r="359" spans="4:85" hidden="1" x14ac:dyDescent="0.3">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row>
    <row r="360" spans="4:85" hidden="1" x14ac:dyDescent="0.3">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row>
    <row r="361" spans="4:85" hidden="1" x14ac:dyDescent="0.3">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row>
    <row r="362" spans="4:85" hidden="1" x14ac:dyDescent="0.3">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38"/>
    </row>
    <row r="363" spans="4:85" hidden="1" x14ac:dyDescent="0.3">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38"/>
      <c r="CE363" s="38"/>
      <c r="CF363" s="38"/>
      <c r="CG363" s="38"/>
    </row>
    <row r="364" spans="4:85" hidden="1" x14ac:dyDescent="0.3">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38"/>
      <c r="CE364" s="38"/>
      <c r="CF364" s="38"/>
      <c r="CG364" s="38"/>
    </row>
    <row r="365" spans="4:85" hidden="1" x14ac:dyDescent="0.3">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38"/>
    </row>
    <row r="366" spans="4:85" hidden="1" x14ac:dyDescent="0.3">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row>
    <row r="367" spans="4:85" hidden="1" x14ac:dyDescent="0.3">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38"/>
      <c r="CE367" s="38"/>
      <c r="CF367" s="38"/>
      <c r="CG367" s="38"/>
    </row>
    <row r="368" spans="4:85" hidden="1" x14ac:dyDescent="0.3">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38"/>
      <c r="CE368" s="38"/>
      <c r="CF368" s="38"/>
      <c r="CG368" s="38"/>
    </row>
    <row r="369" spans="4:85" hidden="1" x14ac:dyDescent="0.3">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38"/>
    </row>
    <row r="370" spans="4:85" hidden="1" x14ac:dyDescent="0.3">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c r="BQ370" s="38"/>
      <c r="BR370" s="38"/>
      <c r="BS370" s="38"/>
      <c r="BT370" s="38"/>
      <c r="BU370" s="38"/>
      <c r="BV370" s="38"/>
      <c r="BW370" s="38"/>
      <c r="BX370" s="38"/>
      <c r="BY370" s="38"/>
      <c r="BZ370" s="38"/>
      <c r="CA370" s="38"/>
      <c r="CB370" s="38"/>
      <c r="CC370" s="38"/>
      <c r="CD370" s="38"/>
      <c r="CE370" s="38"/>
      <c r="CF370" s="38"/>
      <c r="CG370" s="38"/>
    </row>
    <row r="371" spans="4:85" hidden="1" x14ac:dyDescent="0.3">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38"/>
      <c r="CE371" s="38"/>
      <c r="CF371" s="38"/>
      <c r="CG371" s="38"/>
    </row>
    <row r="372" spans="4:85" hidden="1" x14ac:dyDescent="0.3">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38"/>
      <c r="CE372" s="38"/>
      <c r="CF372" s="38"/>
      <c r="CG372" s="38"/>
    </row>
    <row r="373" spans="4:85" hidden="1" x14ac:dyDescent="0.3">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c r="BQ373" s="38"/>
      <c r="BR373" s="38"/>
      <c r="BS373" s="38"/>
      <c r="BT373" s="38"/>
      <c r="BU373" s="38"/>
      <c r="BV373" s="38"/>
      <c r="BW373" s="38"/>
      <c r="BX373" s="38"/>
      <c r="BY373" s="38"/>
      <c r="BZ373" s="38"/>
      <c r="CA373" s="38"/>
      <c r="CB373" s="38"/>
      <c r="CC373" s="38"/>
      <c r="CD373" s="38"/>
      <c r="CE373" s="38"/>
      <c r="CF373" s="38"/>
      <c r="CG373" s="38"/>
    </row>
    <row r="374" spans="4:85" hidden="1" x14ac:dyDescent="0.3">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row>
    <row r="375" spans="4:85" hidden="1" x14ac:dyDescent="0.3">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38"/>
      <c r="CE375" s="38"/>
      <c r="CF375" s="38"/>
      <c r="CG375" s="38"/>
    </row>
    <row r="376" spans="4:85" hidden="1" x14ac:dyDescent="0.3">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c r="BQ376" s="38"/>
      <c r="BR376" s="38"/>
      <c r="BS376" s="38"/>
      <c r="BT376" s="38"/>
      <c r="BU376" s="38"/>
      <c r="BV376" s="38"/>
      <c r="BW376" s="38"/>
      <c r="BX376" s="38"/>
      <c r="BY376" s="38"/>
      <c r="BZ376" s="38"/>
      <c r="CA376" s="38"/>
      <c r="CB376" s="38"/>
      <c r="CC376" s="38"/>
      <c r="CD376" s="38"/>
      <c r="CE376" s="38"/>
      <c r="CF376" s="38"/>
      <c r="CG376" s="38"/>
    </row>
    <row r="377" spans="4:85" hidden="1" x14ac:dyDescent="0.3">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38"/>
      <c r="CE377" s="38"/>
      <c r="CF377" s="38"/>
      <c r="CG377" s="38"/>
    </row>
    <row r="378" spans="4:85" hidden="1" x14ac:dyDescent="0.3">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c r="BQ378" s="38"/>
      <c r="BR378" s="38"/>
      <c r="BS378" s="38"/>
      <c r="BT378" s="38"/>
      <c r="BU378" s="38"/>
      <c r="BV378" s="38"/>
      <c r="BW378" s="38"/>
      <c r="BX378" s="38"/>
      <c r="BY378" s="38"/>
      <c r="BZ378" s="38"/>
      <c r="CA378" s="38"/>
      <c r="CB378" s="38"/>
      <c r="CC378" s="38"/>
      <c r="CD378" s="38"/>
      <c r="CE378" s="38"/>
      <c r="CF378" s="38"/>
      <c r="CG378" s="38"/>
    </row>
    <row r="379" spans="4:85" hidden="1" x14ac:dyDescent="0.3">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c r="BQ379" s="38"/>
      <c r="BR379" s="38"/>
      <c r="BS379" s="38"/>
      <c r="BT379" s="38"/>
      <c r="BU379" s="38"/>
      <c r="BV379" s="38"/>
      <c r="BW379" s="38"/>
      <c r="BX379" s="38"/>
      <c r="BY379" s="38"/>
      <c r="BZ379" s="38"/>
      <c r="CA379" s="38"/>
      <c r="CB379" s="38"/>
      <c r="CC379" s="38"/>
      <c r="CD379" s="38"/>
      <c r="CE379" s="38"/>
      <c r="CF379" s="38"/>
      <c r="CG379" s="38"/>
    </row>
    <row r="380" spans="4:85" hidden="1" x14ac:dyDescent="0.3">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38"/>
      <c r="CE380" s="38"/>
      <c r="CF380" s="38"/>
      <c r="CG380" s="38"/>
    </row>
    <row r="381" spans="4:85" hidden="1" x14ac:dyDescent="0.3">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c r="BQ381" s="38"/>
      <c r="BR381" s="38"/>
      <c r="BS381" s="38"/>
      <c r="BT381" s="38"/>
      <c r="BU381" s="38"/>
      <c r="BV381" s="38"/>
      <c r="BW381" s="38"/>
      <c r="BX381" s="38"/>
      <c r="BY381" s="38"/>
      <c r="BZ381" s="38"/>
      <c r="CA381" s="38"/>
      <c r="CB381" s="38"/>
      <c r="CC381" s="38"/>
      <c r="CD381" s="38"/>
      <c r="CE381" s="38"/>
      <c r="CF381" s="38"/>
      <c r="CG381" s="38"/>
    </row>
    <row r="382" spans="4:85" hidden="1" x14ac:dyDescent="0.3">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38"/>
      <c r="CE382" s="38"/>
      <c r="CF382" s="38"/>
      <c r="CG382" s="38"/>
    </row>
    <row r="383" spans="4:85" hidden="1" x14ac:dyDescent="0.3">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38"/>
      <c r="CE383" s="38"/>
      <c r="CF383" s="38"/>
      <c r="CG383" s="38"/>
    </row>
    <row r="384" spans="4:85" hidden="1" x14ac:dyDescent="0.3">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38"/>
      <c r="CE384" s="38"/>
      <c r="CF384" s="38"/>
      <c r="CG384" s="38"/>
    </row>
    <row r="385" spans="4:85" hidden="1" x14ac:dyDescent="0.3">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38"/>
      <c r="CE385" s="38"/>
      <c r="CF385" s="38"/>
      <c r="CG385" s="38"/>
    </row>
    <row r="386" spans="4:85" hidden="1" x14ac:dyDescent="0.3">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38"/>
    </row>
    <row r="387" spans="4:85" hidden="1" x14ac:dyDescent="0.3">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38"/>
    </row>
    <row r="388" spans="4:85" hidden="1" x14ac:dyDescent="0.3">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38"/>
    </row>
    <row r="389" spans="4:85" hidden="1" x14ac:dyDescent="0.3">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38"/>
      <c r="CE389" s="38"/>
      <c r="CF389" s="38"/>
      <c r="CG389" s="38"/>
    </row>
    <row r="390" spans="4:85" hidden="1" x14ac:dyDescent="0.3">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38"/>
    </row>
    <row r="391" spans="4:85" hidden="1" x14ac:dyDescent="0.3">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row>
    <row r="392" spans="4:85" hidden="1" x14ac:dyDescent="0.3">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row>
    <row r="393" spans="4:85" hidden="1" x14ac:dyDescent="0.3">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38"/>
      <c r="CE393" s="38"/>
      <c r="CF393" s="38"/>
      <c r="CG393" s="38"/>
    </row>
    <row r="394" spans="4:85" hidden="1" x14ac:dyDescent="0.3">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row>
    <row r="395" spans="4:85" hidden="1" x14ac:dyDescent="0.3">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38"/>
    </row>
    <row r="396" spans="4:85" hidden="1" x14ac:dyDescent="0.3">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38"/>
      <c r="CE396" s="38"/>
      <c r="CF396" s="38"/>
      <c r="CG396" s="38"/>
    </row>
    <row r="397" spans="4:85" hidden="1" x14ac:dyDescent="0.3">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38"/>
    </row>
    <row r="398" spans="4:85" hidden="1" x14ac:dyDescent="0.3">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38"/>
      <c r="CE398" s="38"/>
      <c r="CF398" s="38"/>
      <c r="CG398" s="38"/>
    </row>
    <row r="399" spans="4:85" hidden="1" x14ac:dyDescent="0.3">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38"/>
    </row>
    <row r="400" spans="4:85" hidden="1" x14ac:dyDescent="0.3">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38"/>
    </row>
    <row r="401" spans="4:85" hidden="1" x14ac:dyDescent="0.3">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38"/>
    </row>
    <row r="402" spans="4:85" hidden="1" x14ac:dyDescent="0.3">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38"/>
    </row>
    <row r="403" spans="4:85" hidden="1" x14ac:dyDescent="0.3">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38"/>
    </row>
    <row r="404" spans="4:85" hidden="1" x14ac:dyDescent="0.3">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c r="BQ404" s="38"/>
      <c r="BR404" s="38"/>
      <c r="BS404" s="38"/>
      <c r="BT404" s="38"/>
      <c r="BU404" s="38"/>
      <c r="BV404" s="38"/>
      <c r="BW404" s="38"/>
      <c r="BX404" s="38"/>
      <c r="BY404" s="38"/>
      <c r="BZ404" s="38"/>
      <c r="CA404" s="38"/>
      <c r="CB404" s="38"/>
      <c r="CC404" s="38"/>
      <c r="CD404" s="38"/>
      <c r="CE404" s="38"/>
      <c r="CF404" s="38"/>
      <c r="CG404" s="38"/>
    </row>
    <row r="405" spans="4:85" hidden="1" x14ac:dyDescent="0.3">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38"/>
    </row>
    <row r="406" spans="4:85" hidden="1" x14ac:dyDescent="0.3">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38"/>
    </row>
    <row r="407" spans="4:85" hidden="1" x14ac:dyDescent="0.3">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38"/>
    </row>
    <row r="408" spans="4:85" hidden="1" x14ac:dyDescent="0.3">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row>
    <row r="409" spans="4:85" hidden="1" x14ac:dyDescent="0.3">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row>
    <row r="410" spans="4:85" hidden="1" x14ac:dyDescent="0.3">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row>
    <row r="411" spans="4:85" hidden="1" x14ac:dyDescent="0.3">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row>
    <row r="412" spans="4:85" hidden="1" x14ac:dyDescent="0.3">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38"/>
    </row>
    <row r="413" spans="4:85" hidden="1" x14ac:dyDescent="0.3">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38"/>
    </row>
    <row r="414" spans="4:85" hidden="1" x14ac:dyDescent="0.3">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38"/>
    </row>
    <row r="415" spans="4:85" hidden="1" x14ac:dyDescent="0.3">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38"/>
    </row>
    <row r="416" spans="4:85" hidden="1" x14ac:dyDescent="0.3">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38"/>
    </row>
    <row r="417" spans="1:85" hidden="1" x14ac:dyDescent="0.3">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38"/>
    </row>
    <row r="418" spans="1:85" hidden="1" x14ac:dyDescent="0.3">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row>
    <row r="419" spans="1:85" hidden="1" x14ac:dyDescent="0.3">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row>
    <row r="420" spans="1:85" hidden="1" x14ac:dyDescent="0.3">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row>
    <row r="421" spans="1:85" hidden="1" x14ac:dyDescent="0.3">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row>
    <row r="422" spans="1:85" hidden="1" x14ac:dyDescent="0.3">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38"/>
    </row>
    <row r="423" spans="1:85" hidden="1" x14ac:dyDescent="0.3">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38"/>
    </row>
    <row r="424" spans="1:85" hidden="1" x14ac:dyDescent="0.3">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row>
    <row r="425" spans="1:85" hidden="1" x14ac:dyDescent="0.3">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row>
    <row r="426" spans="1:85" hidden="1" x14ac:dyDescent="0.3">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38"/>
    </row>
    <row r="427" spans="1:85" hidden="1" x14ac:dyDescent="0.3">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row>
    <row r="428" spans="1:85" hidden="1" x14ac:dyDescent="0.3">
      <c r="A428" s="37"/>
      <c r="B428" s="37"/>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row>
    <row r="429" spans="1:85" hidden="1" x14ac:dyDescent="0.3">
      <c r="A429" s="37"/>
      <c r="B429" s="37"/>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row>
    <row r="430" spans="1:85" hidden="1" x14ac:dyDescent="0.3">
      <c r="A430" s="37"/>
      <c r="B430" s="37"/>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row>
    <row r="431" spans="1:85" hidden="1" x14ac:dyDescent="0.3">
      <c r="A431" s="37"/>
      <c r="B431" s="37"/>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row>
    <row r="432" spans="1:85" hidden="1" x14ac:dyDescent="0.3">
      <c r="A432" s="37"/>
      <c r="B432" s="37"/>
      <c r="C432" s="37"/>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row>
    <row r="433" spans="1:85" hidden="1" x14ac:dyDescent="0.3">
      <c r="A433" s="37"/>
      <c r="B433" s="37"/>
      <c r="C433" s="37"/>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row>
    <row r="434" spans="1:85" hidden="1" x14ac:dyDescent="0.3">
      <c r="A434" s="37"/>
      <c r="B434" s="37"/>
      <c r="C434" s="37"/>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row>
    <row r="435" spans="1:85" hidden="1" x14ac:dyDescent="0.3">
      <c r="A435" s="37"/>
      <c r="B435" s="37"/>
      <c r="C435" s="37"/>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row>
    <row r="436" spans="1:85" hidden="1" x14ac:dyDescent="0.3">
      <c r="A436" s="37"/>
      <c r="B436" s="37"/>
      <c r="C436" s="37"/>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row>
    <row r="437" spans="1:85" hidden="1" x14ac:dyDescent="0.3">
      <c r="A437" s="37"/>
      <c r="B437" s="37"/>
      <c r="C437" s="37"/>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38"/>
    </row>
    <row r="438" spans="1:85" hidden="1" x14ac:dyDescent="0.3">
      <c r="A438" s="37"/>
      <c r="B438" s="37"/>
      <c r="C438" s="37"/>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38"/>
    </row>
    <row r="439" spans="1:85" hidden="1" x14ac:dyDescent="0.3">
      <c r="A439" s="37"/>
      <c r="B439" s="37"/>
      <c r="C439" s="37"/>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38"/>
    </row>
    <row r="440" spans="1:85" hidden="1" x14ac:dyDescent="0.3">
      <c r="A440" s="37"/>
      <c r="B440" s="37"/>
      <c r="C440" s="37"/>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38"/>
    </row>
    <row r="441" spans="1:85" hidden="1" x14ac:dyDescent="0.3">
      <c r="A441" s="37"/>
      <c r="B441" s="37"/>
      <c r="C441" s="37"/>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38"/>
    </row>
    <row r="442" spans="1:85" hidden="1" x14ac:dyDescent="0.3">
      <c r="A442" s="37"/>
      <c r="B442" s="37"/>
      <c r="C442" s="37"/>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row>
    <row r="443" spans="1:85" hidden="1" x14ac:dyDescent="0.3">
      <c r="A443" s="37"/>
      <c r="B443" s="37"/>
      <c r="C443" s="37"/>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38"/>
    </row>
    <row r="444" spans="1:85" hidden="1" x14ac:dyDescent="0.3">
      <c r="A444" s="37"/>
      <c r="B444" s="37"/>
      <c r="C444" s="37"/>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c r="BQ444" s="38"/>
      <c r="BR444" s="38"/>
      <c r="BS444" s="38"/>
      <c r="BT444" s="38"/>
      <c r="BU444" s="38"/>
      <c r="BV444" s="38"/>
      <c r="BW444" s="38"/>
      <c r="BX444" s="38"/>
      <c r="BY444" s="38"/>
      <c r="BZ444" s="38"/>
      <c r="CA444" s="38"/>
      <c r="CB444" s="38"/>
      <c r="CC444" s="38"/>
      <c r="CD444" s="38"/>
      <c r="CE444" s="38"/>
      <c r="CF444" s="38"/>
      <c r="CG444" s="38"/>
    </row>
    <row r="445" spans="1:85" hidden="1" x14ac:dyDescent="0.3">
      <c r="A445" s="37"/>
      <c r="B445" s="37"/>
      <c r="C445" s="37"/>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38"/>
    </row>
    <row r="446" spans="1:85" hidden="1" x14ac:dyDescent="0.3">
      <c r="A446" s="37"/>
      <c r="B446" s="37"/>
      <c r="C446" s="37"/>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38"/>
    </row>
    <row r="447" spans="1:85" hidden="1" x14ac:dyDescent="0.3">
      <c r="A447" s="37"/>
      <c r="B447" s="37"/>
      <c r="C447" s="37"/>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c r="BQ447" s="38"/>
      <c r="BR447" s="38"/>
      <c r="BS447" s="38"/>
      <c r="BT447" s="38"/>
      <c r="BU447" s="38"/>
      <c r="BV447" s="38"/>
      <c r="BW447" s="38"/>
      <c r="BX447" s="38"/>
      <c r="BY447" s="38"/>
      <c r="BZ447" s="38"/>
      <c r="CA447" s="38"/>
      <c r="CB447" s="38"/>
      <c r="CC447" s="38"/>
      <c r="CD447" s="38"/>
      <c r="CE447" s="38"/>
      <c r="CF447" s="38"/>
      <c r="CG447" s="38"/>
    </row>
    <row r="448" spans="1:85" hidden="1" x14ac:dyDescent="0.3">
      <c r="A448" s="37"/>
      <c r="B448" s="37"/>
      <c r="C448" s="37"/>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c r="BQ448" s="38"/>
      <c r="BR448" s="38"/>
      <c r="BS448" s="38"/>
      <c r="BT448" s="38"/>
      <c r="BU448" s="38"/>
      <c r="BV448" s="38"/>
      <c r="BW448" s="38"/>
      <c r="BX448" s="38"/>
      <c r="BY448" s="38"/>
      <c r="BZ448" s="38"/>
      <c r="CA448" s="38"/>
      <c r="CB448" s="38"/>
      <c r="CC448" s="38"/>
      <c r="CD448" s="38"/>
      <c r="CE448" s="38"/>
      <c r="CF448" s="38"/>
      <c r="CG448" s="38"/>
    </row>
    <row r="449" spans="1:85" hidden="1" x14ac:dyDescent="0.3">
      <c r="A449" s="37"/>
      <c r="B449" s="37"/>
      <c r="C449" s="37"/>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row>
    <row r="450" spans="1:85" hidden="1" x14ac:dyDescent="0.3">
      <c r="A450" s="37"/>
      <c r="B450" s="37"/>
      <c r="C450" s="37"/>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c r="CE450" s="38"/>
      <c r="CF450" s="38"/>
      <c r="CG450" s="38"/>
    </row>
    <row r="451" spans="1:85" hidden="1" x14ac:dyDescent="0.3">
      <c r="A451" s="37"/>
      <c r="B451" s="37"/>
      <c r="C451" s="37"/>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8"/>
      <c r="CG451" s="38"/>
    </row>
    <row r="452" spans="1:85" hidden="1" x14ac:dyDescent="0.3">
      <c r="A452" s="37"/>
      <c r="B452" s="37"/>
      <c r="C452" s="37"/>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row>
    <row r="453" spans="1:85" hidden="1" x14ac:dyDescent="0.3">
      <c r="A453" s="37"/>
      <c r="B453" s="37"/>
      <c r="C453" s="37"/>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row>
    <row r="454" spans="1:85" hidden="1" x14ac:dyDescent="0.3">
      <c r="A454" s="37"/>
      <c r="B454" s="37"/>
      <c r="C454" s="37"/>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c r="BQ454" s="38"/>
      <c r="BR454" s="38"/>
      <c r="BS454" s="38"/>
      <c r="BT454" s="38"/>
      <c r="BU454" s="38"/>
      <c r="BV454" s="38"/>
      <c r="BW454" s="38"/>
      <c r="BX454" s="38"/>
      <c r="BY454" s="38"/>
      <c r="BZ454" s="38"/>
      <c r="CA454" s="38"/>
      <c r="CB454" s="38"/>
      <c r="CC454" s="38"/>
      <c r="CD454" s="38"/>
      <c r="CE454" s="38"/>
      <c r="CF454" s="38"/>
      <c r="CG454" s="38"/>
    </row>
    <row r="455" spans="1:85" hidden="1" x14ac:dyDescent="0.3">
      <c r="A455" s="37"/>
      <c r="B455" s="37"/>
      <c r="C455" s="37"/>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c r="BQ455" s="38"/>
      <c r="BR455" s="38"/>
      <c r="BS455" s="38"/>
      <c r="BT455" s="38"/>
      <c r="BU455" s="38"/>
      <c r="BV455" s="38"/>
      <c r="BW455" s="38"/>
      <c r="BX455" s="38"/>
      <c r="BY455" s="38"/>
      <c r="BZ455" s="38"/>
      <c r="CA455" s="38"/>
      <c r="CB455" s="38"/>
      <c r="CC455" s="38"/>
      <c r="CD455" s="38"/>
      <c r="CE455" s="38"/>
      <c r="CF455" s="38"/>
      <c r="CG455" s="38"/>
    </row>
    <row r="456" spans="1:85" hidden="1" x14ac:dyDescent="0.3">
      <c r="A456" s="37"/>
      <c r="B456" s="37"/>
      <c r="C456" s="37"/>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38"/>
    </row>
    <row r="457" spans="1:85" ht="14.5" hidden="1" customHeight="1" x14ac:dyDescent="0.3">
      <c r="A457" s="37"/>
      <c r="B457" s="37"/>
      <c r="C457" s="37"/>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c r="BQ457" s="38"/>
      <c r="BR457" s="38"/>
      <c r="BS457" s="38"/>
      <c r="BT457" s="38"/>
      <c r="BU457" s="38"/>
      <c r="BV457" s="38"/>
      <c r="BW457" s="38"/>
      <c r="BX457" s="38"/>
      <c r="BY457" s="38"/>
      <c r="BZ457" s="38"/>
      <c r="CA457" s="38"/>
      <c r="CB457" s="38"/>
      <c r="CC457" s="38"/>
      <c r="CD457" s="38"/>
      <c r="CE457" s="38"/>
      <c r="CF457" s="38"/>
      <c r="CG457" s="38"/>
    </row>
    <row r="458" spans="1:85" hidden="1" x14ac:dyDescent="0.3">
      <c r="A458" s="37"/>
      <c r="B458" s="37"/>
      <c r="C458" s="37"/>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c r="BQ458" s="38"/>
      <c r="BR458" s="38"/>
      <c r="BS458" s="38"/>
      <c r="BT458" s="38"/>
      <c r="BU458" s="38"/>
      <c r="BV458" s="38"/>
      <c r="BW458" s="38"/>
      <c r="BX458" s="38"/>
      <c r="BY458" s="38"/>
      <c r="BZ458" s="38"/>
      <c r="CA458" s="38"/>
      <c r="CB458" s="38"/>
      <c r="CC458" s="38"/>
      <c r="CD458" s="38"/>
      <c r="CE458" s="38"/>
      <c r="CF458" s="38"/>
      <c r="CG458" s="38"/>
    </row>
    <row r="459" spans="1:85" ht="20.25" hidden="1" customHeight="1" x14ac:dyDescent="0.3">
      <c r="A459" s="37"/>
      <c r="B459" s="37"/>
      <c r="C459" s="37"/>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c r="BQ459" s="38"/>
      <c r="BR459" s="38"/>
      <c r="BS459" s="38"/>
      <c r="BT459" s="38"/>
      <c r="BU459" s="38"/>
      <c r="BV459" s="38"/>
      <c r="BW459" s="38"/>
      <c r="BX459" s="38"/>
      <c r="BY459" s="38"/>
      <c r="BZ459" s="38"/>
      <c r="CA459" s="38"/>
      <c r="CB459" s="38"/>
      <c r="CC459" s="38"/>
      <c r="CD459" s="38"/>
      <c r="CE459" s="38"/>
      <c r="CF459" s="38"/>
      <c r="CG459" s="38"/>
    </row>
    <row r="460" spans="1:85" hidden="1" x14ac:dyDescent="0.3">
      <c r="A460" s="37"/>
      <c r="B460" s="37"/>
      <c r="C460" s="37"/>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c r="BQ460" s="38"/>
      <c r="BR460" s="38"/>
      <c r="BS460" s="38"/>
      <c r="BT460" s="38"/>
      <c r="BU460" s="38"/>
      <c r="BV460" s="38"/>
      <c r="BW460" s="38"/>
      <c r="BX460" s="38"/>
      <c r="BY460" s="38"/>
      <c r="BZ460" s="38"/>
      <c r="CA460" s="38"/>
      <c r="CB460" s="38"/>
      <c r="CC460" s="38"/>
      <c r="CD460" s="38"/>
      <c r="CE460" s="38"/>
      <c r="CF460" s="38"/>
      <c r="CG460" s="38"/>
    </row>
    <row r="461" spans="1:85" ht="14.5" hidden="1" customHeight="1" x14ac:dyDescent="0.3">
      <c r="A461" s="37"/>
      <c r="B461" s="37"/>
      <c r="C461" s="37"/>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c r="BQ461" s="38"/>
      <c r="BR461" s="38"/>
      <c r="BS461" s="38"/>
      <c r="BT461" s="38"/>
      <c r="BU461" s="38"/>
      <c r="BV461" s="38"/>
      <c r="BW461" s="38"/>
      <c r="BX461" s="38"/>
      <c r="BY461" s="38"/>
      <c r="BZ461" s="38"/>
      <c r="CA461" s="38"/>
      <c r="CB461" s="38"/>
      <c r="CC461" s="38"/>
      <c r="CD461" s="38"/>
      <c r="CE461" s="38"/>
      <c r="CF461" s="38"/>
      <c r="CG461" s="38"/>
    </row>
    <row r="462" spans="1:85" hidden="1" x14ac:dyDescent="0.3">
      <c r="A462" s="37"/>
      <c r="B462" s="37"/>
      <c r="C462" s="37"/>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38"/>
    </row>
    <row r="463" spans="1:85" hidden="1" x14ac:dyDescent="0.3">
      <c r="A463" s="37"/>
      <c r="B463" s="37"/>
      <c r="C463" s="37"/>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c r="BQ463" s="38"/>
      <c r="BR463" s="38"/>
      <c r="BS463" s="38"/>
      <c r="BT463" s="38"/>
      <c r="BU463" s="38"/>
      <c r="BV463" s="38"/>
      <c r="BW463" s="38"/>
      <c r="BX463" s="38"/>
      <c r="BY463" s="38"/>
      <c r="BZ463" s="38"/>
      <c r="CA463" s="38"/>
      <c r="CB463" s="38"/>
      <c r="CC463" s="38"/>
      <c r="CD463" s="38"/>
      <c r="CE463" s="38"/>
      <c r="CF463" s="38"/>
      <c r="CG463" s="38"/>
    </row>
    <row r="464" spans="1:85" hidden="1" x14ac:dyDescent="0.3">
      <c r="A464" s="37"/>
      <c r="B464" s="37"/>
      <c r="C464" s="37"/>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c r="BQ464" s="38"/>
      <c r="BR464" s="38"/>
      <c r="BS464" s="38"/>
      <c r="BT464" s="38"/>
      <c r="BU464" s="38"/>
      <c r="BV464" s="38"/>
      <c r="BW464" s="38"/>
      <c r="BX464" s="38"/>
      <c r="BY464" s="38"/>
      <c r="BZ464" s="38"/>
      <c r="CA464" s="38"/>
      <c r="CB464" s="38"/>
      <c r="CC464" s="38"/>
      <c r="CD464" s="38"/>
      <c r="CE464" s="38"/>
      <c r="CF464" s="38"/>
      <c r="CG464" s="38"/>
    </row>
    <row r="465" spans="1:85" hidden="1" x14ac:dyDescent="0.3">
      <c r="A465" s="37"/>
      <c r="B465" s="37"/>
      <c r="C465" s="37"/>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c r="BQ465" s="38"/>
      <c r="BR465" s="38"/>
      <c r="BS465" s="38"/>
      <c r="BT465" s="38"/>
      <c r="BU465" s="38"/>
      <c r="BV465" s="38"/>
      <c r="BW465" s="38"/>
      <c r="BX465" s="38"/>
      <c r="BY465" s="38"/>
      <c r="BZ465" s="38"/>
      <c r="CA465" s="38"/>
      <c r="CB465" s="38"/>
      <c r="CC465" s="38"/>
      <c r="CD465" s="38"/>
      <c r="CE465" s="38"/>
      <c r="CF465" s="38"/>
      <c r="CG465" s="38"/>
    </row>
    <row r="466" spans="1:85" hidden="1" x14ac:dyDescent="0.3">
      <c r="A466" s="37"/>
      <c r="B466" s="37"/>
      <c r="C466" s="37"/>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38"/>
    </row>
    <row r="467" spans="1:85" hidden="1" x14ac:dyDescent="0.3">
      <c r="A467" s="37"/>
      <c r="B467" s="37"/>
      <c r="C467" s="37"/>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c r="BQ467" s="38"/>
      <c r="BR467" s="38"/>
      <c r="BS467" s="38"/>
      <c r="BT467" s="38"/>
      <c r="BU467" s="38"/>
      <c r="BV467" s="38"/>
      <c r="BW467" s="38"/>
      <c r="BX467" s="38"/>
      <c r="BY467" s="38"/>
      <c r="BZ467" s="38"/>
      <c r="CA467" s="38"/>
      <c r="CB467" s="38"/>
      <c r="CC467" s="38"/>
      <c r="CD467" s="38"/>
      <c r="CE467" s="38"/>
      <c r="CF467" s="38"/>
      <c r="CG467" s="38"/>
    </row>
    <row r="468" spans="1:85" hidden="1" x14ac:dyDescent="0.3">
      <c r="A468" s="37"/>
      <c r="B468" s="37"/>
      <c r="C468" s="37"/>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c r="BQ468" s="38"/>
      <c r="BR468" s="38"/>
      <c r="BS468" s="38"/>
      <c r="BT468" s="38"/>
      <c r="BU468" s="38"/>
      <c r="BV468" s="38"/>
      <c r="BW468" s="38"/>
      <c r="BX468" s="38"/>
      <c r="BY468" s="38"/>
      <c r="BZ468" s="38"/>
      <c r="CA468" s="38"/>
      <c r="CB468" s="38"/>
      <c r="CC468" s="38"/>
      <c r="CD468" s="38"/>
      <c r="CE468" s="38"/>
      <c r="CF468" s="38"/>
      <c r="CG468" s="38"/>
    </row>
    <row r="469" spans="1:85" hidden="1" x14ac:dyDescent="0.3">
      <c r="A469" s="37"/>
      <c r="B469" s="37"/>
      <c r="C469" s="37"/>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38"/>
    </row>
    <row r="470" spans="1:85" hidden="1" x14ac:dyDescent="0.3">
      <c r="A470" s="37"/>
      <c r="B470" s="37"/>
      <c r="C470" s="37"/>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row>
    <row r="471" spans="1:85" hidden="1" x14ac:dyDescent="0.3">
      <c r="A471" s="37"/>
      <c r="B471" s="37"/>
      <c r="C471" s="37"/>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row>
    <row r="472" spans="1:85" hidden="1" x14ac:dyDescent="0.3">
      <c r="A472" s="37"/>
      <c r="B472" s="37"/>
      <c r="C472" s="37"/>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row>
    <row r="473" spans="1:85" hidden="1" x14ac:dyDescent="0.3">
      <c r="A473" s="37"/>
      <c r="B473" s="37"/>
      <c r="C473" s="37"/>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row>
    <row r="474" spans="1:85" hidden="1" x14ac:dyDescent="0.3">
      <c r="A474" s="37"/>
      <c r="B474" s="37"/>
      <c r="C474" s="37"/>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38"/>
    </row>
    <row r="475" spans="1:85" hidden="1" x14ac:dyDescent="0.3">
      <c r="A475" s="37"/>
      <c r="B475" s="37"/>
      <c r="C475" s="37"/>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38"/>
    </row>
    <row r="476" spans="1:85" hidden="1" x14ac:dyDescent="0.3">
      <c r="A476" s="37"/>
      <c r="B476" s="37"/>
      <c r="C476" s="37"/>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38"/>
    </row>
    <row r="477" spans="1:85" hidden="1" x14ac:dyDescent="0.3">
      <c r="A477" s="37"/>
      <c r="B477" s="37"/>
      <c r="C477" s="37"/>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row>
    <row r="478" spans="1:85" hidden="1" x14ac:dyDescent="0.3">
      <c r="A478" s="37"/>
      <c r="B478" s="37"/>
      <c r="C478" s="37"/>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38"/>
    </row>
    <row r="479" spans="1:85" hidden="1" x14ac:dyDescent="0.3">
      <c r="A479" s="37"/>
      <c r="B479" s="37"/>
      <c r="C479" s="37"/>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38"/>
    </row>
    <row r="480" spans="1:85" hidden="1" x14ac:dyDescent="0.3">
      <c r="A480" s="37"/>
      <c r="B480" s="37"/>
      <c r="C480" s="37"/>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38"/>
    </row>
    <row r="481" spans="1:85" hidden="1" x14ac:dyDescent="0.3">
      <c r="A481" s="37"/>
      <c r="B481" s="37"/>
      <c r="C481" s="37"/>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c r="BQ481" s="38"/>
      <c r="BR481" s="38"/>
      <c r="BS481" s="38"/>
      <c r="BT481" s="38"/>
      <c r="BU481" s="38"/>
      <c r="BV481" s="38"/>
      <c r="BW481" s="38"/>
      <c r="BX481" s="38"/>
      <c r="BY481" s="38"/>
      <c r="BZ481" s="38"/>
      <c r="CA481" s="38"/>
      <c r="CB481" s="38"/>
      <c r="CC481" s="38"/>
      <c r="CD481" s="38"/>
      <c r="CE481" s="38"/>
      <c r="CF481" s="38"/>
      <c r="CG481" s="38"/>
    </row>
    <row r="482" spans="1:85" hidden="1" x14ac:dyDescent="0.3">
      <c r="A482" s="37"/>
      <c r="B482" s="37"/>
      <c r="C482" s="37"/>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c r="BQ482" s="38"/>
      <c r="BR482" s="38"/>
      <c r="BS482" s="38"/>
      <c r="BT482" s="38"/>
      <c r="BU482" s="38"/>
      <c r="BV482" s="38"/>
      <c r="BW482" s="38"/>
      <c r="BX482" s="38"/>
      <c r="BY482" s="38"/>
      <c r="BZ482" s="38"/>
      <c r="CA482" s="38"/>
      <c r="CB482" s="38"/>
      <c r="CC482" s="38"/>
      <c r="CD482" s="38"/>
      <c r="CE482" s="38"/>
      <c r="CF482" s="38"/>
      <c r="CG482" s="38"/>
    </row>
    <row r="483" spans="1:85" hidden="1" x14ac:dyDescent="0.3">
      <c r="A483" s="37"/>
      <c r="B483" s="37"/>
      <c r="C483" s="37"/>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c r="BQ483" s="38"/>
      <c r="BR483" s="38"/>
      <c r="BS483" s="38"/>
      <c r="BT483" s="38"/>
      <c r="BU483" s="38"/>
      <c r="BV483" s="38"/>
      <c r="BW483" s="38"/>
      <c r="BX483" s="38"/>
      <c r="BY483" s="38"/>
      <c r="BZ483" s="38"/>
      <c r="CA483" s="38"/>
      <c r="CB483" s="38"/>
      <c r="CC483" s="38"/>
      <c r="CD483" s="38"/>
      <c r="CE483" s="38"/>
      <c r="CF483" s="38"/>
      <c r="CG483" s="38"/>
    </row>
    <row r="484" spans="1:85" hidden="1" x14ac:dyDescent="0.3">
      <c r="A484" s="37"/>
      <c r="B484" s="37"/>
      <c r="C484" s="37"/>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c r="BQ484" s="38"/>
      <c r="BR484" s="38"/>
      <c r="BS484" s="38"/>
      <c r="BT484" s="38"/>
      <c r="BU484" s="38"/>
      <c r="BV484" s="38"/>
      <c r="BW484" s="38"/>
      <c r="BX484" s="38"/>
      <c r="BY484" s="38"/>
      <c r="BZ484" s="38"/>
      <c r="CA484" s="38"/>
      <c r="CB484" s="38"/>
      <c r="CC484" s="38"/>
      <c r="CD484" s="38"/>
      <c r="CE484" s="38"/>
      <c r="CF484" s="38"/>
      <c r="CG484" s="38"/>
    </row>
    <row r="485" spans="1:85" hidden="1" x14ac:dyDescent="0.3">
      <c r="A485" s="37"/>
      <c r="B485" s="37"/>
      <c r="C485" s="37"/>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38"/>
    </row>
    <row r="486" spans="1:85" hidden="1" x14ac:dyDescent="0.3">
      <c r="A486" s="37"/>
      <c r="B486" s="37"/>
      <c r="C486" s="37"/>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c r="BQ486" s="38"/>
      <c r="BR486" s="38"/>
      <c r="BS486" s="38"/>
      <c r="BT486" s="38"/>
      <c r="BU486" s="38"/>
      <c r="BV486" s="38"/>
      <c r="BW486" s="38"/>
      <c r="BX486" s="38"/>
      <c r="BY486" s="38"/>
      <c r="BZ486" s="38"/>
      <c r="CA486" s="38"/>
      <c r="CB486" s="38"/>
      <c r="CC486" s="38"/>
      <c r="CD486" s="38"/>
      <c r="CE486" s="38"/>
      <c r="CF486" s="38"/>
      <c r="CG486" s="38"/>
    </row>
    <row r="487" spans="1:85" ht="20.25" hidden="1" customHeight="1" x14ac:dyDescent="0.3">
      <c r="A487" s="37"/>
      <c r="B487" s="37"/>
      <c r="C487" s="37"/>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c r="BQ487" s="38"/>
      <c r="BR487" s="38"/>
      <c r="BS487" s="38"/>
      <c r="BT487" s="38"/>
      <c r="BU487" s="38"/>
      <c r="BV487" s="38"/>
      <c r="BW487" s="38"/>
      <c r="BX487" s="38"/>
      <c r="BY487" s="38"/>
      <c r="BZ487" s="38"/>
      <c r="CA487" s="38"/>
      <c r="CB487" s="38"/>
      <c r="CC487" s="38"/>
      <c r="CD487" s="38"/>
      <c r="CE487" s="38"/>
      <c r="CF487" s="38"/>
      <c r="CG487" s="38"/>
    </row>
    <row r="488" spans="1:85" hidden="1" x14ac:dyDescent="0.3">
      <c r="A488" s="37"/>
      <c r="B488" s="37"/>
      <c r="C488" s="37"/>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row>
    <row r="489" spans="1:85" hidden="1" x14ac:dyDescent="0.3">
      <c r="A489" s="37"/>
      <c r="B489" s="37"/>
      <c r="C489" s="37"/>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c r="BQ489" s="38"/>
      <c r="BR489" s="38"/>
      <c r="BS489" s="38"/>
      <c r="BT489" s="38"/>
      <c r="BU489" s="38"/>
      <c r="BV489" s="38"/>
      <c r="BW489" s="38"/>
      <c r="BX489" s="38"/>
      <c r="BY489" s="38"/>
      <c r="BZ489" s="38"/>
      <c r="CA489" s="38"/>
      <c r="CB489" s="38"/>
      <c r="CC489" s="38"/>
      <c r="CD489" s="38"/>
      <c r="CE489" s="38"/>
      <c r="CF489" s="38"/>
      <c r="CG489" s="38"/>
    </row>
    <row r="490" spans="1:85" hidden="1" x14ac:dyDescent="0.3">
      <c r="A490" s="37"/>
      <c r="B490" s="37"/>
      <c r="C490" s="37"/>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c r="BQ490" s="38"/>
      <c r="BR490" s="38"/>
      <c r="BS490" s="38"/>
      <c r="BT490" s="38"/>
      <c r="BU490" s="38"/>
      <c r="BV490" s="38"/>
      <c r="BW490" s="38"/>
      <c r="BX490" s="38"/>
      <c r="BY490" s="38"/>
      <c r="BZ490" s="38"/>
      <c r="CA490" s="38"/>
      <c r="CB490" s="38"/>
      <c r="CC490" s="38"/>
      <c r="CD490" s="38"/>
      <c r="CE490" s="38"/>
      <c r="CF490" s="38"/>
      <c r="CG490" s="38"/>
    </row>
    <row r="491" spans="1:85" hidden="1" x14ac:dyDescent="0.3">
      <c r="A491" s="37"/>
      <c r="B491" s="37"/>
      <c r="C491" s="37"/>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38"/>
      <c r="CA491" s="38"/>
      <c r="CB491" s="38"/>
      <c r="CC491" s="38"/>
      <c r="CD491" s="38"/>
      <c r="CE491" s="38"/>
      <c r="CF491" s="38"/>
      <c r="CG491" s="38"/>
    </row>
    <row r="492" spans="1:85" hidden="1" x14ac:dyDescent="0.3">
      <c r="A492" s="37"/>
      <c r="B492" s="37"/>
      <c r="C492" s="37"/>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row>
    <row r="493" spans="1:85" hidden="1" x14ac:dyDescent="0.3">
      <c r="A493" s="37"/>
      <c r="B493" s="37"/>
      <c r="C493" s="37"/>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38"/>
    </row>
    <row r="494" spans="1:85" hidden="1" x14ac:dyDescent="0.3">
      <c r="A494" s="37"/>
      <c r="B494" s="37"/>
      <c r="C494" s="37"/>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38"/>
    </row>
    <row r="495" spans="1:85" hidden="1" x14ac:dyDescent="0.3">
      <c r="A495" s="37"/>
      <c r="B495" s="37"/>
      <c r="C495" s="37"/>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row>
    <row r="496" spans="1:85" hidden="1" x14ac:dyDescent="0.3">
      <c r="A496" s="37"/>
      <c r="B496" s="37"/>
      <c r="C496" s="37"/>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38"/>
    </row>
    <row r="497" spans="1:85" hidden="1" x14ac:dyDescent="0.3">
      <c r="A497" s="37"/>
      <c r="B497" s="37"/>
      <c r="C497" s="37"/>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c r="BQ497" s="38"/>
      <c r="BR497" s="38"/>
      <c r="BS497" s="38"/>
      <c r="BT497" s="38"/>
      <c r="BU497" s="38"/>
      <c r="BV497" s="38"/>
      <c r="BW497" s="38"/>
      <c r="BX497" s="38"/>
      <c r="BY497" s="38"/>
      <c r="BZ497" s="38"/>
      <c r="CA497" s="38"/>
      <c r="CB497" s="38"/>
      <c r="CC497" s="38"/>
      <c r="CD497" s="38"/>
      <c r="CE497" s="38"/>
      <c r="CF497" s="38"/>
      <c r="CG497" s="38"/>
    </row>
    <row r="498" spans="1:85" hidden="1" x14ac:dyDescent="0.3">
      <c r="A498" s="37"/>
      <c r="B498" s="37"/>
      <c r="C498" s="37"/>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c r="BQ498" s="38"/>
      <c r="BR498" s="38"/>
      <c r="BS498" s="38"/>
      <c r="BT498" s="38"/>
      <c r="BU498" s="38"/>
      <c r="BV498" s="38"/>
      <c r="BW498" s="38"/>
      <c r="BX498" s="38"/>
      <c r="BY498" s="38"/>
      <c r="BZ498" s="38"/>
      <c r="CA498" s="38"/>
      <c r="CB498" s="38"/>
      <c r="CC498" s="38"/>
      <c r="CD498" s="38"/>
      <c r="CE498" s="38"/>
      <c r="CF498" s="38"/>
      <c r="CG498" s="38"/>
    </row>
    <row r="499" spans="1:85" hidden="1" x14ac:dyDescent="0.3">
      <c r="A499" s="37"/>
      <c r="B499" s="37"/>
      <c r="C499" s="37"/>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c r="BQ499" s="38"/>
      <c r="BR499" s="38"/>
      <c r="BS499" s="38"/>
      <c r="BT499" s="38"/>
      <c r="BU499" s="38"/>
      <c r="BV499" s="38"/>
      <c r="BW499" s="38"/>
      <c r="BX499" s="38"/>
      <c r="BY499" s="38"/>
      <c r="BZ499" s="38"/>
      <c r="CA499" s="38"/>
      <c r="CB499" s="38"/>
      <c r="CC499" s="38"/>
      <c r="CD499" s="38"/>
      <c r="CE499" s="38"/>
      <c r="CF499" s="38"/>
      <c r="CG499" s="38"/>
    </row>
    <row r="500" spans="1:85" hidden="1" x14ac:dyDescent="0.3">
      <c r="A500" s="37"/>
      <c r="B500" s="37"/>
      <c r="C500" s="37"/>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38"/>
    </row>
    <row r="501" spans="1:85" hidden="1" x14ac:dyDescent="0.3">
      <c r="A501" s="37"/>
      <c r="B501" s="37"/>
      <c r="C501" s="37"/>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38"/>
    </row>
    <row r="502" spans="1:85" hidden="1" x14ac:dyDescent="0.3">
      <c r="A502" s="37"/>
      <c r="B502" s="37"/>
      <c r="C502" s="37"/>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38"/>
    </row>
    <row r="503" spans="1:85" hidden="1" x14ac:dyDescent="0.3">
      <c r="A503" s="37"/>
      <c r="B503" s="37"/>
      <c r="C503" s="37"/>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c r="BQ503" s="38"/>
      <c r="BR503" s="38"/>
      <c r="BS503" s="38"/>
      <c r="BT503" s="38"/>
      <c r="BU503" s="38"/>
      <c r="BV503" s="38"/>
      <c r="BW503" s="38"/>
      <c r="BX503" s="38"/>
      <c r="BY503" s="38"/>
      <c r="BZ503" s="38"/>
      <c r="CA503" s="38"/>
      <c r="CB503" s="38"/>
      <c r="CC503" s="38"/>
      <c r="CD503" s="38"/>
      <c r="CE503" s="38"/>
      <c r="CF503" s="38"/>
      <c r="CG503" s="38"/>
    </row>
    <row r="504" spans="1:85" hidden="1" x14ac:dyDescent="0.3">
      <c r="A504" s="37"/>
      <c r="B504" s="37"/>
      <c r="C504" s="37"/>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38"/>
    </row>
    <row r="505" spans="1:85" hidden="1" x14ac:dyDescent="0.3">
      <c r="A505" s="37"/>
      <c r="B505" s="37"/>
      <c r="C505" s="37"/>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38"/>
    </row>
    <row r="506" spans="1:85" hidden="1" x14ac:dyDescent="0.3">
      <c r="A506" s="37"/>
      <c r="B506" s="37"/>
      <c r="C506" s="37"/>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c r="BQ506" s="38"/>
      <c r="BR506" s="38"/>
      <c r="BS506" s="38"/>
      <c r="BT506" s="38"/>
      <c r="BU506" s="38"/>
      <c r="BV506" s="38"/>
      <c r="BW506" s="38"/>
      <c r="BX506" s="38"/>
      <c r="BY506" s="38"/>
      <c r="BZ506" s="38"/>
      <c r="CA506" s="38"/>
      <c r="CB506" s="38"/>
      <c r="CC506" s="38"/>
      <c r="CD506" s="38"/>
      <c r="CE506" s="38"/>
      <c r="CF506" s="38"/>
      <c r="CG506" s="38"/>
    </row>
    <row r="507" spans="1:85" hidden="1" x14ac:dyDescent="0.3">
      <c r="A507" s="37"/>
      <c r="B507" s="37"/>
      <c r="C507" s="37"/>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38"/>
    </row>
    <row r="508" spans="1:85" hidden="1" x14ac:dyDescent="0.3">
      <c r="A508" s="37"/>
      <c r="B508" s="37"/>
      <c r="C508" s="37"/>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38"/>
    </row>
    <row r="509" spans="1:85" hidden="1" x14ac:dyDescent="0.3">
      <c r="A509" s="37"/>
      <c r="B509" s="37"/>
      <c r="C509" s="37"/>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38"/>
    </row>
    <row r="510" spans="1:85" hidden="1" x14ac:dyDescent="0.3">
      <c r="A510" s="37"/>
      <c r="B510" s="37"/>
      <c r="C510" s="37"/>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38"/>
    </row>
    <row r="511" spans="1:85" hidden="1" x14ac:dyDescent="0.3">
      <c r="A511" s="37"/>
      <c r="B511" s="37"/>
      <c r="C511" s="37"/>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row>
    <row r="512" spans="1:85" hidden="1" x14ac:dyDescent="0.3">
      <c r="A512" s="37"/>
      <c r="B512" s="37"/>
      <c r="C512" s="37"/>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38"/>
    </row>
    <row r="513" spans="1:85" hidden="1" x14ac:dyDescent="0.3">
      <c r="A513" s="37"/>
      <c r="B513" s="37"/>
      <c r="C513" s="37"/>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38"/>
    </row>
    <row r="514" spans="1:85" hidden="1" x14ac:dyDescent="0.3">
      <c r="A514" s="37"/>
      <c r="B514" s="37"/>
      <c r="C514" s="37"/>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38"/>
    </row>
    <row r="515" spans="1:85" hidden="1" x14ac:dyDescent="0.3">
      <c r="A515" s="37"/>
      <c r="B515" s="37"/>
      <c r="C515" s="37"/>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38"/>
    </row>
    <row r="516" spans="1:85" hidden="1" x14ac:dyDescent="0.3">
      <c r="A516" s="37"/>
      <c r="B516" s="37"/>
      <c r="C516" s="37"/>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38"/>
    </row>
    <row r="517" spans="1:85" hidden="1" x14ac:dyDescent="0.3">
      <c r="A517" s="37"/>
      <c r="B517" s="37"/>
      <c r="C517" s="37"/>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38"/>
    </row>
    <row r="518" spans="1:85" hidden="1" x14ac:dyDescent="0.3">
      <c r="A518" s="37"/>
      <c r="B518" s="37"/>
      <c r="C518" s="37"/>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c r="BQ518" s="38"/>
      <c r="BR518" s="38"/>
      <c r="BS518" s="38"/>
      <c r="BT518" s="38"/>
      <c r="BU518" s="38"/>
      <c r="BV518" s="38"/>
      <c r="BW518" s="38"/>
      <c r="BX518" s="38"/>
      <c r="BY518" s="38"/>
      <c r="BZ518" s="38"/>
      <c r="CA518" s="38"/>
      <c r="CB518" s="38"/>
      <c r="CC518" s="38"/>
      <c r="CD518" s="38"/>
      <c r="CE518" s="38"/>
      <c r="CF518" s="38"/>
      <c r="CG518" s="38"/>
    </row>
    <row r="519" spans="1:85" hidden="1" x14ac:dyDescent="0.3">
      <c r="A519" s="37"/>
      <c r="B519" s="37"/>
      <c r="C519" s="37"/>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38"/>
    </row>
    <row r="520" spans="1:85" hidden="1" x14ac:dyDescent="0.3">
      <c r="A520" s="37"/>
      <c r="B520" s="37"/>
      <c r="C520" s="37"/>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c r="BQ520" s="38"/>
      <c r="BR520" s="38"/>
      <c r="BS520" s="38"/>
      <c r="BT520" s="38"/>
      <c r="BU520" s="38"/>
      <c r="BV520" s="38"/>
      <c r="BW520" s="38"/>
      <c r="BX520" s="38"/>
      <c r="BY520" s="38"/>
      <c r="BZ520" s="38"/>
      <c r="CA520" s="38"/>
      <c r="CB520" s="38"/>
      <c r="CC520" s="38"/>
      <c r="CD520" s="38"/>
      <c r="CE520" s="38"/>
      <c r="CF520" s="38"/>
      <c r="CG520" s="38"/>
    </row>
    <row r="521" spans="1:85" hidden="1" x14ac:dyDescent="0.3">
      <c r="A521" s="37"/>
      <c r="B521" s="37"/>
      <c r="C521" s="37"/>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c r="BQ521" s="38"/>
      <c r="BR521" s="38"/>
      <c r="BS521" s="38"/>
      <c r="BT521" s="38"/>
      <c r="BU521" s="38"/>
      <c r="BV521" s="38"/>
      <c r="BW521" s="38"/>
      <c r="BX521" s="38"/>
      <c r="BY521" s="38"/>
      <c r="BZ521" s="38"/>
      <c r="CA521" s="38"/>
      <c r="CB521" s="38"/>
      <c r="CC521" s="38"/>
      <c r="CD521" s="38"/>
      <c r="CE521" s="38"/>
      <c r="CF521" s="38"/>
      <c r="CG521" s="38"/>
    </row>
    <row r="522" spans="1:85" hidden="1" x14ac:dyDescent="0.3">
      <c r="A522" s="37"/>
      <c r="B522" s="37"/>
      <c r="C522" s="37"/>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c r="BQ522" s="38"/>
      <c r="BR522" s="38"/>
      <c r="BS522" s="38"/>
      <c r="BT522" s="38"/>
      <c r="BU522" s="38"/>
      <c r="BV522" s="38"/>
      <c r="BW522" s="38"/>
      <c r="BX522" s="38"/>
      <c r="BY522" s="38"/>
      <c r="BZ522" s="38"/>
      <c r="CA522" s="38"/>
      <c r="CB522" s="38"/>
      <c r="CC522" s="38"/>
      <c r="CD522" s="38"/>
      <c r="CE522" s="38"/>
      <c r="CF522" s="38"/>
      <c r="CG522" s="38"/>
    </row>
    <row r="523" spans="1:85" hidden="1" x14ac:dyDescent="0.3">
      <c r="A523" s="37"/>
      <c r="B523" s="37"/>
      <c r="C523" s="37"/>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c r="BQ523" s="38"/>
      <c r="BR523" s="38"/>
      <c r="BS523" s="38"/>
      <c r="BT523" s="38"/>
      <c r="BU523" s="38"/>
      <c r="BV523" s="38"/>
      <c r="BW523" s="38"/>
      <c r="BX523" s="38"/>
      <c r="BY523" s="38"/>
      <c r="BZ523" s="38"/>
      <c r="CA523" s="38"/>
      <c r="CB523" s="38"/>
      <c r="CC523" s="38"/>
      <c r="CD523" s="38"/>
      <c r="CE523" s="38"/>
      <c r="CF523" s="38"/>
      <c r="CG523" s="38"/>
    </row>
    <row r="524" spans="1:85" hidden="1" x14ac:dyDescent="0.3">
      <c r="A524" s="37"/>
      <c r="B524" s="37"/>
      <c r="C524" s="37"/>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38"/>
    </row>
    <row r="525" spans="1:85" hidden="1" x14ac:dyDescent="0.3">
      <c r="A525" s="37"/>
      <c r="B525" s="37"/>
      <c r="C525" s="37"/>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row>
    <row r="526" spans="1:85" hidden="1" x14ac:dyDescent="0.3">
      <c r="A526" s="37"/>
      <c r="B526" s="37"/>
      <c r="C526" s="37"/>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c r="BQ526" s="38"/>
      <c r="BR526" s="38"/>
      <c r="BS526" s="38"/>
      <c r="BT526" s="38"/>
      <c r="BU526" s="38"/>
      <c r="BV526" s="38"/>
      <c r="BW526" s="38"/>
      <c r="BX526" s="38"/>
      <c r="BY526" s="38"/>
      <c r="BZ526" s="38"/>
      <c r="CA526" s="38"/>
      <c r="CB526" s="38"/>
      <c r="CC526" s="38"/>
      <c r="CD526" s="38"/>
      <c r="CE526" s="38"/>
      <c r="CF526" s="38"/>
      <c r="CG526" s="38"/>
    </row>
    <row r="527" spans="1:85" hidden="1" x14ac:dyDescent="0.3">
      <c r="B527" s="37"/>
      <c r="C527" s="37"/>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c r="BQ527" s="38"/>
      <c r="BR527" s="38"/>
      <c r="BS527" s="38"/>
      <c r="BT527" s="38"/>
      <c r="BU527" s="38"/>
      <c r="BV527" s="38"/>
      <c r="BW527" s="38"/>
      <c r="BX527" s="38"/>
      <c r="BY527" s="38"/>
      <c r="BZ527" s="38"/>
      <c r="CA527" s="38"/>
      <c r="CB527" s="38"/>
      <c r="CC527" s="38"/>
      <c r="CD527" s="38"/>
      <c r="CE527" s="38"/>
      <c r="CF527" s="38"/>
      <c r="CG527" s="38"/>
    </row>
    <row r="528" spans="1:85" hidden="1" x14ac:dyDescent="0.3">
      <c r="B528" s="37"/>
      <c r="C528" s="37"/>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c r="BQ528" s="38"/>
      <c r="BR528" s="38"/>
      <c r="BS528" s="38"/>
      <c r="BT528" s="38"/>
      <c r="BU528" s="38"/>
      <c r="BV528" s="38"/>
      <c r="BW528" s="38"/>
      <c r="BX528" s="38"/>
      <c r="BY528" s="38"/>
      <c r="BZ528" s="38"/>
      <c r="CA528" s="38"/>
      <c r="CB528" s="38"/>
      <c r="CC528" s="38"/>
      <c r="CD528" s="38"/>
      <c r="CE528" s="38"/>
      <c r="CF528" s="38"/>
      <c r="CG528" s="38"/>
    </row>
    <row r="529" spans="2:85" hidden="1" x14ac:dyDescent="0.3">
      <c r="B529" s="37"/>
      <c r="C529" s="37"/>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c r="BQ529" s="38"/>
      <c r="BR529" s="38"/>
      <c r="BS529" s="38"/>
      <c r="BT529" s="38"/>
      <c r="BU529" s="38"/>
      <c r="BV529" s="38"/>
      <c r="BW529" s="38"/>
      <c r="BX529" s="38"/>
      <c r="BY529" s="38"/>
      <c r="BZ529" s="38"/>
      <c r="CA529" s="38"/>
      <c r="CB529" s="38"/>
      <c r="CC529" s="38"/>
      <c r="CD529" s="38"/>
      <c r="CE529" s="38"/>
      <c r="CF529" s="38"/>
      <c r="CG529" s="38"/>
    </row>
    <row r="530" spans="2:85" hidden="1" x14ac:dyDescent="0.3">
      <c r="B530" s="37"/>
      <c r="C530" s="37"/>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c r="BQ530" s="38"/>
      <c r="BR530" s="38"/>
      <c r="BS530" s="38"/>
      <c r="BT530" s="38"/>
      <c r="BU530" s="38"/>
      <c r="BV530" s="38"/>
      <c r="BW530" s="38"/>
      <c r="BX530" s="38"/>
      <c r="BY530" s="38"/>
      <c r="BZ530" s="38"/>
      <c r="CA530" s="38"/>
      <c r="CB530" s="38"/>
      <c r="CC530" s="38"/>
      <c r="CD530" s="38"/>
      <c r="CE530" s="38"/>
      <c r="CF530" s="38"/>
      <c r="CG530" s="38"/>
    </row>
    <row r="531" spans="2:85" hidden="1" x14ac:dyDescent="0.3">
      <c r="B531" s="37"/>
      <c r="C531" s="37"/>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c r="BQ531" s="38"/>
      <c r="BR531" s="38"/>
      <c r="BS531" s="38"/>
      <c r="BT531" s="38"/>
      <c r="BU531" s="38"/>
      <c r="BV531" s="38"/>
      <c r="BW531" s="38"/>
      <c r="BX531" s="38"/>
      <c r="BY531" s="38"/>
      <c r="BZ531" s="38"/>
      <c r="CA531" s="38"/>
      <c r="CB531" s="38"/>
      <c r="CC531" s="38"/>
      <c r="CD531" s="38"/>
      <c r="CE531" s="38"/>
      <c r="CF531" s="38"/>
      <c r="CG531" s="38"/>
    </row>
    <row r="532" spans="2:85" hidden="1" x14ac:dyDescent="0.3">
      <c r="B532" s="37"/>
      <c r="C532" s="37"/>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38"/>
    </row>
    <row r="533" spans="2:85" hidden="1" x14ac:dyDescent="0.3">
      <c r="B533" s="37"/>
      <c r="C533" s="37"/>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c r="BQ533" s="38"/>
      <c r="BR533" s="38"/>
      <c r="BS533" s="38"/>
      <c r="BT533" s="38"/>
      <c r="BU533" s="38"/>
      <c r="BV533" s="38"/>
      <c r="BW533" s="38"/>
      <c r="BX533" s="38"/>
      <c r="BY533" s="38"/>
      <c r="BZ533" s="38"/>
      <c r="CA533" s="38"/>
      <c r="CB533" s="38"/>
      <c r="CC533" s="38"/>
      <c r="CD533" s="38"/>
      <c r="CE533" s="38"/>
      <c r="CF533" s="38"/>
      <c r="CG533" s="38"/>
    </row>
    <row r="534" spans="2:85" hidden="1" x14ac:dyDescent="0.3">
      <c r="B534" s="37"/>
      <c r="C534" s="37"/>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c r="BQ534" s="38"/>
      <c r="BR534" s="38"/>
      <c r="BS534" s="38"/>
      <c r="BT534" s="38"/>
      <c r="BU534" s="38"/>
      <c r="BV534" s="38"/>
      <c r="BW534" s="38"/>
      <c r="BX534" s="38"/>
      <c r="BY534" s="38"/>
      <c r="BZ534" s="38"/>
      <c r="CA534" s="38"/>
      <c r="CB534" s="38"/>
      <c r="CC534" s="38"/>
      <c r="CD534" s="38"/>
      <c r="CE534" s="38"/>
      <c r="CF534" s="38"/>
      <c r="CG534" s="38"/>
    </row>
    <row r="535" spans="2:85" hidden="1" x14ac:dyDescent="0.3">
      <c r="B535" s="38"/>
      <c r="C535" s="37"/>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c r="BQ535" s="38"/>
      <c r="BR535" s="38"/>
      <c r="BS535" s="38"/>
      <c r="BT535" s="38"/>
      <c r="BU535" s="38"/>
      <c r="BV535" s="38"/>
      <c r="BW535" s="38"/>
      <c r="BX535" s="38"/>
      <c r="BY535" s="38"/>
      <c r="BZ535" s="38"/>
      <c r="CA535" s="38"/>
      <c r="CB535" s="38"/>
      <c r="CC535" s="38"/>
      <c r="CD535" s="38"/>
      <c r="CE535" s="38"/>
      <c r="CF535" s="38"/>
      <c r="CG535" s="38"/>
    </row>
    <row r="536" spans="2:85" hidden="1" x14ac:dyDescent="0.3">
      <c r="B536" s="38"/>
      <c r="C536" s="37"/>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c r="BQ536" s="38"/>
      <c r="BR536" s="38"/>
      <c r="BS536" s="38"/>
      <c r="BT536" s="38"/>
      <c r="BU536" s="38"/>
      <c r="BV536" s="38"/>
      <c r="BW536" s="38"/>
      <c r="BX536" s="38"/>
      <c r="BY536" s="38"/>
      <c r="BZ536" s="38"/>
      <c r="CA536" s="38"/>
      <c r="CB536" s="38"/>
      <c r="CC536" s="38"/>
      <c r="CD536" s="38"/>
      <c r="CE536" s="38"/>
      <c r="CF536" s="38"/>
      <c r="CG536" s="38"/>
    </row>
    <row r="537" spans="2:85" hidden="1" x14ac:dyDescent="0.3">
      <c r="B537" s="38"/>
      <c r="C537" s="37"/>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c r="BQ537" s="38"/>
      <c r="BR537" s="38"/>
      <c r="BS537" s="38"/>
      <c r="BT537" s="38"/>
      <c r="BU537" s="38"/>
      <c r="BV537" s="38"/>
      <c r="BW537" s="38"/>
      <c r="BX537" s="38"/>
      <c r="BY537" s="38"/>
      <c r="BZ537" s="38"/>
      <c r="CA537" s="38"/>
      <c r="CB537" s="38"/>
      <c r="CC537" s="38"/>
      <c r="CD537" s="38"/>
      <c r="CE537" s="38"/>
      <c r="CF537" s="38"/>
      <c r="CG537" s="38"/>
    </row>
    <row r="538" spans="2:85" hidden="1" x14ac:dyDescent="0.3">
      <c r="B538" s="38"/>
      <c r="C538" s="37"/>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c r="BQ538" s="38"/>
      <c r="BR538" s="38"/>
      <c r="BS538" s="38"/>
      <c r="BT538" s="38"/>
      <c r="BU538" s="38"/>
      <c r="BV538" s="38"/>
      <c r="BW538" s="38"/>
      <c r="BX538" s="38"/>
      <c r="BY538" s="38"/>
      <c r="BZ538" s="38"/>
      <c r="CA538" s="38"/>
      <c r="CB538" s="38"/>
      <c r="CC538" s="38"/>
      <c r="CD538" s="38"/>
      <c r="CE538" s="38"/>
      <c r="CF538" s="38"/>
      <c r="CG538" s="38"/>
    </row>
    <row r="539" spans="2:85" hidden="1" x14ac:dyDescent="0.3">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c r="BQ539" s="38"/>
      <c r="BR539" s="38"/>
      <c r="BS539" s="38"/>
      <c r="BT539" s="38"/>
      <c r="BU539" s="38"/>
      <c r="BV539" s="38"/>
      <c r="BW539" s="38"/>
      <c r="BX539" s="38"/>
      <c r="BY539" s="38"/>
      <c r="BZ539" s="38"/>
      <c r="CA539" s="38"/>
      <c r="CB539" s="38"/>
      <c r="CC539" s="38"/>
      <c r="CD539" s="38"/>
      <c r="CE539" s="38"/>
      <c r="CF539" s="38"/>
      <c r="CG539" s="38"/>
    </row>
    <row r="540" spans="2:85" hidden="1" x14ac:dyDescent="0.3">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c r="BQ540" s="38"/>
      <c r="BR540" s="38"/>
      <c r="BS540" s="38"/>
      <c r="BT540" s="38"/>
      <c r="BU540" s="38"/>
      <c r="BV540" s="38"/>
      <c r="BW540" s="38"/>
      <c r="BX540" s="38"/>
      <c r="BY540" s="38"/>
      <c r="BZ540" s="38"/>
      <c r="CA540" s="38"/>
      <c r="CB540" s="38"/>
      <c r="CC540" s="38"/>
      <c r="CD540" s="38"/>
      <c r="CE540" s="38"/>
      <c r="CF540" s="38"/>
      <c r="CG540" s="38"/>
    </row>
    <row r="541" spans="2:85" hidden="1" x14ac:dyDescent="0.3">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8"/>
      <c r="CE541" s="38"/>
      <c r="CF541" s="38"/>
      <c r="CG541" s="38"/>
    </row>
    <row r="542" spans="2:85" hidden="1" x14ac:dyDescent="0.3">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38"/>
    </row>
    <row r="543" spans="2:85" hidden="1" x14ac:dyDescent="0.3">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c r="BQ543" s="38"/>
      <c r="BR543" s="38"/>
      <c r="BS543" s="38"/>
      <c r="BT543" s="38"/>
      <c r="BU543" s="38"/>
      <c r="BV543" s="38"/>
      <c r="BW543" s="38"/>
      <c r="BX543" s="38"/>
      <c r="BY543" s="38"/>
      <c r="BZ543" s="38"/>
      <c r="CA543" s="38"/>
      <c r="CB543" s="38"/>
      <c r="CC543" s="38"/>
      <c r="CD543" s="38"/>
      <c r="CE543" s="38"/>
      <c r="CF543" s="38"/>
      <c r="CG543" s="38"/>
    </row>
    <row r="544" spans="2:85" hidden="1" x14ac:dyDescent="0.3">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38"/>
    </row>
    <row r="545" spans="2:85" hidden="1" x14ac:dyDescent="0.3">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38"/>
    </row>
    <row r="546" spans="2:85" hidden="1" x14ac:dyDescent="0.3">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38"/>
    </row>
    <row r="547" spans="2:85" hidden="1" x14ac:dyDescent="0.3">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38"/>
    </row>
    <row r="548" spans="2:85" hidden="1" x14ac:dyDescent="0.3">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38"/>
    </row>
    <row r="549" spans="2:85" hidden="1" x14ac:dyDescent="0.3">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38"/>
    </row>
    <row r="550" spans="2:85" hidden="1" x14ac:dyDescent="0.3">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row>
    <row r="551" spans="2:85" hidden="1" x14ac:dyDescent="0.3">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38"/>
    </row>
    <row r="552" spans="2:85" hidden="1" x14ac:dyDescent="0.3">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38"/>
    </row>
    <row r="553" spans="2:85" hidden="1" x14ac:dyDescent="0.3">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row>
    <row r="554" spans="2:85" hidden="1" x14ac:dyDescent="0.3">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38"/>
    </row>
    <row r="555" spans="2:85" hidden="1" x14ac:dyDescent="0.3">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row>
    <row r="556" spans="2:85" hidden="1" x14ac:dyDescent="0.3">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38"/>
    </row>
    <row r="557" spans="2:85" hidden="1" x14ac:dyDescent="0.3">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38"/>
    </row>
    <row r="558" spans="2:85" hidden="1" x14ac:dyDescent="0.3">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38"/>
    </row>
    <row r="559" spans="2:85" hidden="1" x14ac:dyDescent="0.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row>
    <row r="560" spans="2:85" hidden="1" x14ac:dyDescent="0.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c r="BQ560" s="38"/>
      <c r="BR560" s="38"/>
      <c r="BS560" s="38"/>
      <c r="BT560" s="38"/>
      <c r="BU560" s="38"/>
      <c r="BV560" s="38"/>
      <c r="BW560" s="38"/>
      <c r="BX560" s="38"/>
      <c r="BY560" s="38"/>
      <c r="BZ560" s="38"/>
      <c r="CA560" s="38"/>
      <c r="CB560" s="38"/>
      <c r="CC560" s="38"/>
      <c r="CD560" s="38"/>
      <c r="CE560" s="38"/>
      <c r="CF560" s="38"/>
      <c r="CG560" s="38"/>
    </row>
    <row r="561" spans="2:85" hidden="1" x14ac:dyDescent="0.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row>
    <row r="562" spans="2:85" hidden="1" x14ac:dyDescent="0.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row>
    <row r="563" spans="2:85" hidden="1" x14ac:dyDescent="0.3">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row>
    <row r="564" spans="2:85" hidden="1" x14ac:dyDescent="0.3">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row>
    <row r="565" spans="2:85" hidden="1" x14ac:dyDescent="0.3">
      <c r="C565" s="38"/>
    </row>
    <row r="566" spans="2:85" hidden="1" x14ac:dyDescent="0.3">
      <c r="C566" s="38"/>
    </row>
    <row r="567" spans="2:85" hidden="1" x14ac:dyDescent="0.3">
      <c r="C567" s="38"/>
    </row>
  </sheetData>
  <sheetProtection formatCells="0" formatRows="0" sort="0" autoFilter="0"/>
  <dataConsolidate/>
  <mergeCells count="60">
    <mergeCell ref="M33:O36"/>
    <mergeCell ref="J61:L61"/>
    <mergeCell ref="G33:H33"/>
    <mergeCell ref="E41:F41"/>
    <mergeCell ref="E42:F42"/>
    <mergeCell ref="E43:F43"/>
    <mergeCell ref="E46:F46"/>
    <mergeCell ref="M61:O61"/>
    <mergeCell ref="E55:I55"/>
    <mergeCell ref="P61:R61"/>
    <mergeCell ref="E40:G40"/>
    <mergeCell ref="E45:G45"/>
    <mergeCell ref="G61:I61"/>
    <mergeCell ref="E26:F26"/>
    <mergeCell ref="E27:F27"/>
    <mergeCell ref="E28:F28"/>
    <mergeCell ref="E29:F29"/>
    <mergeCell ref="E30:F30"/>
    <mergeCell ref="E35:F35"/>
    <mergeCell ref="G29:H29"/>
    <mergeCell ref="G30:H30"/>
    <mergeCell ref="G31:H31"/>
    <mergeCell ref="G32:H32"/>
    <mergeCell ref="G34:H34"/>
    <mergeCell ref="G35:H35"/>
    <mergeCell ref="G24:H24"/>
    <mergeCell ref="G25:H25"/>
    <mergeCell ref="G26:H26"/>
    <mergeCell ref="I24:K24"/>
    <mergeCell ref="G28:H28"/>
    <mergeCell ref="G27:H27"/>
    <mergeCell ref="B3:S3"/>
    <mergeCell ref="E68:F68"/>
    <mergeCell ref="E202:F202"/>
    <mergeCell ref="E223:F223"/>
    <mergeCell ref="E10:F10"/>
    <mergeCell ref="E17:F17"/>
    <mergeCell ref="E12:F12"/>
    <mergeCell ref="E63:F63"/>
    <mergeCell ref="E64:F64"/>
    <mergeCell ref="E65:F65"/>
    <mergeCell ref="E66:F66"/>
    <mergeCell ref="E67:F67"/>
    <mergeCell ref="E31:F31"/>
    <mergeCell ref="E32:F32"/>
    <mergeCell ref="E33:F33"/>
    <mergeCell ref="E34:F34"/>
    <mergeCell ref="E11:F11"/>
    <mergeCell ref="E13:F13"/>
    <mergeCell ref="E14:F14"/>
    <mergeCell ref="E15:F15"/>
    <mergeCell ref="E16:F16"/>
    <mergeCell ref="G15:H15"/>
    <mergeCell ref="G16:H16"/>
    <mergeCell ref="G17:H17"/>
    <mergeCell ref="G10:H10"/>
    <mergeCell ref="G11:H11"/>
    <mergeCell ref="G12:H12"/>
    <mergeCell ref="G13:H13"/>
    <mergeCell ref="G14:H14"/>
  </mergeCells>
  <conditionalFormatting sqref="G41:G43">
    <cfRule type="expression" dxfId="134" priority="43">
      <formula>ISBLANK(G41)</formula>
    </cfRule>
  </conditionalFormatting>
  <conditionalFormatting sqref="G65:R68">
    <cfRule type="containsText" dxfId="133" priority="1" operator="containsText" text="Non Applicable">
      <formula>NOT(ISERROR(SEARCH("Non Applicable",G65)))</formula>
    </cfRule>
  </conditionalFormatting>
  <dataValidations count="3">
    <dataValidation type="list" allowBlank="1" showInputMessage="1" showErrorMessage="1" sqref="I36 I49" xr:uid="{00000000-0002-0000-0100-000000000000}">
      <formula1>Année_de_mise_en_service</formula1>
    </dataValidation>
    <dataValidation type="list" allowBlank="1" showInputMessage="1" showErrorMessage="1" sqref="G46" xr:uid="{00000000-0002-0000-0100-000001000000}">
      <formula1>Scénario</formula1>
    </dataValidation>
    <dataValidation type="list" allowBlank="1" showInputMessage="1" showErrorMessage="1" sqref="G202" xr:uid="{00000000-0002-0000-0100-000002000000}">
      <formula1>Actions</formula1>
    </dataValidation>
  </dataValidations>
  <pageMargins left="0.7" right="0.7" top="0.75" bottom="0.75" header="0.3" footer="0.3"/>
  <pageSetup paperSize="9" scale="65" fitToHeight="0" orientation="landscape" r:id="rId1"/>
  <rowBreaks count="3" manualBreakCount="3">
    <brk id="49" max="16383" man="1"/>
    <brk id="70" max="16383" man="1"/>
    <brk id="119" max="16383" man="1"/>
  </rowBreaks>
  <ignoredErrors>
    <ignoredError sqref="AN29:AN34 AU29:AU34 BC29:BC34"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'Plan d''actions'!$F$78:$Y$78</xm:f>
          </x14:formula1>
          <xm:sqref>G41</xm:sqref>
        </x14:dataValidation>
        <x14:dataValidation type="list" allowBlank="1" showInputMessage="1" showErrorMessage="1" xr:uid="{00000000-0002-0000-0100-000004000000}">
          <x14:formula1>
            <xm:f>Liste!$Q$2:$Q$6</xm:f>
          </x14:formula1>
          <xm:sqref>G223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pageSetUpPr fitToPage="1"/>
  </sheetPr>
  <dimension ref="A1:CP366"/>
  <sheetViews>
    <sheetView zoomScale="90" zoomScaleNormal="90" workbookViewId="0">
      <pane xSplit="4" ySplit="5" topLeftCell="E6" activePane="bottomRight" state="frozen"/>
      <selection pane="topRight" activeCell="E1" sqref="E1"/>
      <selection pane="bottomLeft" activeCell="A6" sqref="A6"/>
      <selection pane="bottomRight" activeCell="J20" sqref="J20"/>
    </sheetView>
  </sheetViews>
  <sheetFormatPr baseColWidth="10" defaultColWidth="0" defaultRowHeight="14.5" zeroHeight="1" outlineLevelRow="1" x14ac:dyDescent="0.35"/>
  <cols>
    <col min="1" max="1" width="1" customWidth="1"/>
    <col min="2" max="2" width="3.1796875" customWidth="1"/>
    <col min="3" max="3" width="34.1796875" customWidth="1"/>
    <col min="4" max="21" width="13.453125" customWidth="1"/>
    <col min="22" max="23" width="11.453125" customWidth="1"/>
    <col min="24" max="48" width="11.453125" hidden="1" customWidth="1"/>
    <col min="49" max="49" width="16.7265625" hidden="1" customWidth="1"/>
    <col min="50" max="16384" width="11.453125" hidden="1"/>
  </cols>
  <sheetData>
    <row r="1" spans="1:85" s="38" customFormat="1" ht="31.5" customHeight="1" x14ac:dyDescent="0.3">
      <c r="A1" s="846" t="s">
        <v>314</v>
      </c>
      <c r="B1" s="846"/>
      <c r="C1" s="846"/>
      <c r="D1" s="846"/>
      <c r="E1" s="36"/>
      <c r="F1" s="36"/>
      <c r="G1" s="36"/>
      <c r="H1" s="36"/>
      <c r="I1" s="36"/>
      <c r="J1" s="36"/>
      <c r="K1" s="36"/>
      <c r="L1" s="36"/>
      <c r="Q1" s="36"/>
      <c r="R1" s="36"/>
      <c r="S1" s="36"/>
      <c r="T1" s="36"/>
      <c r="U1" s="36"/>
      <c r="V1" s="36"/>
      <c r="W1" s="36"/>
      <c r="X1" s="36"/>
      <c r="Y1" s="36"/>
      <c r="Z1" s="36"/>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row>
    <row r="2" spans="1:85" s="118" customFormat="1" ht="5.25" customHeight="1" x14ac:dyDescent="0.35">
      <c r="A2" s="46"/>
      <c r="B2" s="46"/>
      <c r="C2" s="46"/>
      <c r="D2" s="46"/>
      <c r="E2" s="46"/>
      <c r="F2" s="46"/>
      <c r="G2" s="46"/>
      <c r="H2" s="46"/>
      <c r="I2" s="46"/>
      <c r="J2" s="46"/>
      <c r="K2" s="46"/>
      <c r="L2" s="46"/>
      <c r="M2" s="46"/>
      <c r="N2" s="46"/>
      <c r="O2" s="46"/>
      <c r="P2" s="46"/>
      <c r="Q2" s="46"/>
      <c r="R2" s="46"/>
      <c r="S2" s="46"/>
      <c r="T2" s="46"/>
      <c r="U2" s="46"/>
      <c r="V2" s="299"/>
      <c r="W2" s="36"/>
    </row>
    <row r="3" spans="1:85" s="118" customFormat="1" ht="16.5" customHeight="1" thickBot="1" x14ac:dyDescent="0.4">
      <c r="A3" s="158"/>
      <c r="B3" s="842" t="s">
        <v>262</v>
      </c>
      <c r="C3" s="842"/>
      <c r="D3" s="843"/>
      <c r="E3" s="849" t="s">
        <v>268</v>
      </c>
      <c r="F3" s="850"/>
      <c r="G3" s="850"/>
      <c r="H3" s="851"/>
      <c r="I3" s="825" t="s">
        <v>270</v>
      </c>
      <c r="J3" s="826"/>
      <c r="K3" s="826"/>
      <c r="L3" s="827"/>
      <c r="M3" s="852" t="s">
        <v>271</v>
      </c>
      <c r="N3" s="811"/>
      <c r="O3" s="812"/>
      <c r="P3" s="840" t="s">
        <v>298</v>
      </c>
      <c r="Q3" s="841"/>
      <c r="R3" s="847"/>
      <c r="S3" s="840" t="s">
        <v>299</v>
      </c>
      <c r="T3" s="841"/>
      <c r="U3" s="841"/>
      <c r="V3" s="47"/>
      <c r="W3" s="36"/>
    </row>
    <row r="4" spans="1:85" s="118" customFormat="1" ht="52" x14ac:dyDescent="0.35">
      <c r="A4" s="121"/>
      <c r="B4" s="132" t="s">
        <v>105</v>
      </c>
      <c r="C4" s="127" t="s">
        <v>127</v>
      </c>
      <c r="D4" s="136" t="s">
        <v>265</v>
      </c>
      <c r="E4" s="844" t="s">
        <v>150</v>
      </c>
      <c r="F4" s="845"/>
      <c r="G4" s="845" t="s">
        <v>294</v>
      </c>
      <c r="H4" s="848"/>
      <c r="I4" s="379" t="s">
        <v>317</v>
      </c>
      <c r="J4" s="458" t="s">
        <v>322</v>
      </c>
      <c r="K4" s="380" t="s">
        <v>295</v>
      </c>
      <c r="L4" s="381" t="s">
        <v>269</v>
      </c>
      <c r="M4" s="364" t="s">
        <v>367</v>
      </c>
      <c r="N4" s="128" t="s">
        <v>369</v>
      </c>
      <c r="O4" s="148" t="s">
        <v>368</v>
      </c>
      <c r="P4" s="137" t="s">
        <v>157</v>
      </c>
      <c r="Q4" s="130" t="str">
        <f>"Valeur actualisée nette (VAN) sur "&amp;'Paramètres et Résultats'!$G$41&amp;" ans"</f>
        <v>Valeur actualisée nette (VAN) sur 20 ans</v>
      </c>
      <c r="R4" s="138" t="str">
        <f>"Taux de rentabilité interne (TRI) sur "&amp;'Paramètres et Résultats'!$G$41&amp;" ans"</f>
        <v>Taux de rentabilité interne (TRI) sur 20 ans</v>
      </c>
      <c r="S4" s="137" t="s">
        <v>157</v>
      </c>
      <c r="T4" s="130" t="str">
        <f>"Valeur actualisée nette (VAN) sur "&amp;'Paramètres et Résultats'!$G$41&amp;" ans"</f>
        <v>Valeur actualisée nette (VAN) sur 20 ans</v>
      </c>
      <c r="U4" s="131" t="str">
        <f>"Taux de rentabilité interne (TRI) sur "&amp;'Paramètres et Résultats'!$G$41&amp;" ans"</f>
        <v>Taux de rentabilité interne (TRI) sur 20 ans</v>
      </c>
      <c r="V4" s="47"/>
      <c r="W4" s="36"/>
      <c r="Y4" s="198" t="s">
        <v>301</v>
      </c>
      <c r="Z4" s="199"/>
      <c r="AA4" s="199"/>
      <c r="AB4" s="199"/>
      <c r="AC4" s="199"/>
      <c r="AD4" s="199"/>
      <c r="AE4" s="199"/>
      <c r="AF4" s="199"/>
      <c r="AG4" s="199"/>
      <c r="AH4" s="199"/>
      <c r="AI4" s="199"/>
      <c r="AJ4" s="199"/>
      <c r="AK4" s="199"/>
      <c r="AL4" s="200"/>
      <c r="AM4" s="200"/>
      <c r="AN4" s="199"/>
      <c r="AO4" s="199"/>
      <c r="AP4" s="199"/>
      <c r="AQ4" s="199"/>
      <c r="AR4" s="197"/>
      <c r="AS4" s="197"/>
      <c r="AT4" s="197"/>
    </row>
    <row r="5" spans="1:85" s="118" customFormat="1" ht="27" customHeight="1" x14ac:dyDescent="0.35">
      <c r="A5" s="153"/>
      <c r="B5" s="260"/>
      <c r="C5" s="374" t="s">
        <v>132</v>
      </c>
      <c r="D5" s="375"/>
      <c r="E5" s="376" t="s">
        <v>150</v>
      </c>
      <c r="F5" s="377" t="s">
        <v>107</v>
      </c>
      <c r="G5" s="377" t="s">
        <v>151</v>
      </c>
      <c r="H5" s="378" t="s">
        <v>107</v>
      </c>
      <c r="I5" s="382" t="s">
        <v>158</v>
      </c>
      <c r="J5" s="383" t="s">
        <v>2</v>
      </c>
      <c r="K5" s="383" t="s">
        <v>137</v>
      </c>
      <c r="L5" s="439" t="s">
        <v>2</v>
      </c>
      <c r="M5" s="440" t="s">
        <v>233</v>
      </c>
      <c r="N5" s="441" t="s">
        <v>158</v>
      </c>
      <c r="O5" s="442" t="s">
        <v>234</v>
      </c>
      <c r="P5" s="149" t="s">
        <v>280</v>
      </c>
      <c r="Q5" s="443" t="s">
        <v>2</v>
      </c>
      <c r="R5" s="444" t="s">
        <v>78</v>
      </c>
      <c r="S5" s="149" t="s">
        <v>280</v>
      </c>
      <c r="T5" s="443" t="s">
        <v>2</v>
      </c>
      <c r="U5" s="150" t="s">
        <v>78</v>
      </c>
      <c r="V5" s="47"/>
      <c r="W5" s="36"/>
      <c r="X5" s="118" t="s">
        <v>310</v>
      </c>
      <c r="Y5" s="201" t="s">
        <v>162</v>
      </c>
      <c r="AA5" s="241" t="s">
        <v>106</v>
      </c>
      <c r="AB5" s="239" t="s">
        <v>148</v>
      </c>
      <c r="AC5" s="239" t="s">
        <v>303</v>
      </c>
      <c r="AD5" s="239" t="str">
        <f>"Gains annuels sur la consommation d'énergie : "&amp;ROUND(AD6,-LEN(ROUND(AD6,0))+2)&amp;" MWh"</f>
        <v>Gains annuels sur la consommation d'énergie : 3700 MWh</v>
      </c>
      <c r="AE5" s="239" t="s">
        <v>302</v>
      </c>
      <c r="AF5" s="239" t="s">
        <v>147</v>
      </c>
      <c r="AG5" s="152"/>
      <c r="AH5" s="241" t="s">
        <v>106</v>
      </c>
      <c r="AI5" s="239" t="s">
        <v>304</v>
      </c>
      <c r="AJ5" s="239" t="s">
        <v>305</v>
      </c>
      <c r="AK5" s="239" t="str">
        <f ca="1" xml:space="preserve"> "Gains annuels sur la facture énergétique : "&amp;ROUND(AK6,-LEN(ROUND(AK6,0))+2)/1000&amp;" K€"</f>
        <v>Gains annuels sur la facture énergétique : 200 K€</v>
      </c>
      <c r="AL5" s="239" t="s">
        <v>302</v>
      </c>
      <c r="AM5" s="239" t="s">
        <v>147</v>
      </c>
      <c r="AO5" s="241" t="s">
        <v>106</v>
      </c>
      <c r="AP5" s="239" t="s">
        <v>306</v>
      </c>
      <c r="AQ5" s="239" t="s">
        <v>307</v>
      </c>
      <c r="AR5" s="239" t="str">
        <f>"Réduction des émissions de CO2 : "&amp;ROUND(AR6,-LEN(AR6)+2)&amp;" tCO2eq"</f>
        <v>Réduction des émissions de CO2 : 620 tCO2eq</v>
      </c>
      <c r="AS5" s="239" t="s">
        <v>302</v>
      </c>
      <c r="AT5" s="239" t="s">
        <v>147</v>
      </c>
    </row>
    <row r="6" spans="1:85" s="152" customFormat="1" ht="32.25" customHeight="1" thickBot="1" x14ac:dyDescent="0.35">
      <c r="A6" s="153"/>
      <c r="B6" s="436"/>
      <c r="C6" s="502" t="s">
        <v>119</v>
      </c>
      <c r="D6" s="436"/>
      <c r="E6" s="437"/>
      <c r="F6" s="437"/>
      <c r="G6" s="438"/>
      <c r="H6" s="438"/>
      <c r="I6" s="445">
        <f t="shared" ref="I6:O6" si="0">SUM(I7:I26)</f>
        <v>-4000</v>
      </c>
      <c r="J6" s="446">
        <f t="shared" si="0"/>
        <v>568900</v>
      </c>
      <c r="K6" s="447">
        <f t="shared" si="0"/>
        <v>11525</v>
      </c>
      <c r="L6" s="446">
        <f t="shared" si="0"/>
        <v>34575</v>
      </c>
      <c r="M6" s="448">
        <f t="shared" si="0"/>
        <v>3692</v>
      </c>
      <c r="N6" s="449">
        <f t="shared" ca="1" si="0"/>
        <v>199809.25555555554</v>
      </c>
      <c r="O6" s="450">
        <f t="shared" si="0"/>
        <v>618.79899999999998</v>
      </c>
      <c r="P6" s="451">
        <f ca="1">IF(AND(J6=0,X6&gt;0),"immédiat",IF(X6&lt;=0,"Non Applicable",J6/(N6+I6)))</f>
        <v>2.9053784939118472</v>
      </c>
      <c r="Q6" s="452">
        <f ca="1">NPV(Tx_a,OFFSET(F207,0,0,1,'Paramètres et Résultats'!$G$41))+E207</f>
        <v>1817152.2438931316</v>
      </c>
      <c r="R6" s="453">
        <f ca="1">IF(ISERROR(IRR(OFFSET(E207,0,0,1,'Paramètres et Résultats'!$G$41+1))),"Non Applicable",IRR(OFFSET(E207,0,0,1,'Paramètres et Résultats'!$G$41+1)))</f>
        <v>0.39387390829535707</v>
      </c>
      <c r="S6" s="454">
        <f ca="1">IF(K6=0,P6,IF(AND(J6=0,X6&gt;0),"immédiat",IF(X6&lt;=0,"Non Applicable",(J6-L6)/(N6+I6))))</f>
        <v>2.7288035924757388</v>
      </c>
      <c r="T6" s="452">
        <f ca="1">NPV(Tx_a,OFFSET(F265,0,0,1,'Paramètres et Résultats'!$G$41))+E265</f>
        <v>1851727.2438931316</v>
      </c>
      <c r="U6" s="455">
        <f ca="1">IF(ISERROR(IRR(OFFSET(E265,0,0,1,'Paramètres et Résultats'!$G$41+1))),"Non Applicable",IRR(OFFSET(E265,0,0,1,'Paramètres et Résultats'!$G$41+1)))</f>
        <v>0.41642694597061869</v>
      </c>
      <c r="V6" s="154"/>
      <c r="W6" s="146"/>
      <c r="X6" s="248">
        <f ca="1">IFERROR(I6+N6,0)</f>
        <v>195809.25555555554</v>
      </c>
      <c r="Y6" s="203"/>
      <c r="Z6" s="118"/>
      <c r="AA6" s="243" t="s">
        <v>108</v>
      </c>
      <c r="AB6" s="245"/>
      <c r="AC6" s="245"/>
      <c r="AD6" s="246">
        <f>SUMIF(AD7:AD26,"&lt;&gt;#N/A")</f>
        <v>3692</v>
      </c>
      <c r="AE6" s="246">
        <f>SUMIF(AE7:AE26,"&lt;&gt;#N/A")</f>
        <v>3692</v>
      </c>
      <c r="AF6" s="240">
        <f ca="1">SUMIF(AF7:AF26,"&lt;&gt;#N/A",AF7:AF16)</f>
        <v>1</v>
      </c>
      <c r="AG6" s="202"/>
      <c r="AH6" s="243" t="s">
        <v>108</v>
      </c>
      <c r="AI6" s="245"/>
      <c r="AJ6" s="245"/>
      <c r="AK6" s="246">
        <f ca="1">ROUND(SUMIF(AK7:AK26,"&lt;&gt;#N/A"),0)</f>
        <v>199809</v>
      </c>
      <c r="AL6" s="246">
        <f ca="1">ROUND(SUMIF(AL7:AL26,"&lt;&gt;#N/A"),0)</f>
        <v>199809</v>
      </c>
      <c r="AM6" s="240">
        <f ca="1">SUMIF(AM7:AM26,"&lt;&gt;#N/A",AM7:AM16)</f>
        <v>1.0000012789992219</v>
      </c>
      <c r="AO6" s="243" t="s">
        <v>108</v>
      </c>
      <c r="AP6" s="245"/>
      <c r="AQ6" s="245"/>
      <c r="AR6" s="246">
        <f>ROUND(SUMIF(AR7:AR26,"&lt;&gt;#N/A"),0)</f>
        <v>619</v>
      </c>
      <c r="AS6" s="246">
        <f>ROUND(SUMIF(AS7:AS26,"&lt;&gt;#N/A"),0)</f>
        <v>619</v>
      </c>
      <c r="AT6" s="240">
        <f ca="1">SUMIF(AT7:AT26,"&lt;&gt;#N/A",AT7:AT16)</f>
        <v>0.99967528271405492</v>
      </c>
    </row>
    <row r="7" spans="1:85" s="118" customFormat="1" ht="25" x14ac:dyDescent="0.35">
      <c r="A7" s="334" t="str">
        <f>D7</f>
        <v>Prioritaire</v>
      </c>
      <c r="B7" s="499">
        <v>1</v>
      </c>
      <c r="C7" s="542" t="s">
        <v>355</v>
      </c>
      <c r="D7" s="543" t="s">
        <v>281</v>
      </c>
      <c r="E7" s="544" t="s">
        <v>57</v>
      </c>
      <c r="F7" s="545">
        <v>350</v>
      </c>
      <c r="G7" s="544" t="s">
        <v>58</v>
      </c>
      <c r="H7" s="546">
        <v>400</v>
      </c>
      <c r="I7" s="545">
        <v>-3000</v>
      </c>
      <c r="J7" s="547">
        <v>50000</v>
      </c>
      <c r="K7" s="548"/>
      <c r="L7" s="741" t="str">
        <f>IF(C7="","",IF(ISBLANK(K7),"",K7*'Paramètres et Résultats'!$G$43))</f>
        <v/>
      </c>
      <c r="M7" s="742">
        <f>IF(C7="","",F7+H7)</f>
        <v>750</v>
      </c>
      <c r="N7" s="743">
        <f ca="1">IF(C7="","",AK7)</f>
        <v>45650.555555555555</v>
      </c>
      <c r="O7" s="744">
        <f t="shared" ref="O7:O26" si="1">IF(C7="","",IF(AR7=0,,AR7))</f>
        <v>111.4</v>
      </c>
      <c r="P7" s="745">
        <f ca="1">IF(C7="","",IF(AND(J7=0,X7&gt;0),"immédiat",IF(X7&lt;=0,"Non Applicable",J7/(N7+I7))))</f>
        <v>1.1723176720376185</v>
      </c>
      <c r="Q7" s="746">
        <f ca="1">IF(C7="","",NPV(Tx_a,OFFSET(F187,0,0,1,'Paramètres et Résultats'!$G$41))+E187)</f>
        <v>477382.67500501999</v>
      </c>
      <c r="R7" s="747">
        <f ca="1">IF(C7="","",IF(ISERROR(IRR(OFFSET(E187,0,0,1,'Paramètres et Résultats'!$G$41+1))),"Non Applicable",IRR(OFFSET(E187,0,0,1,'Paramètres et Résultats'!$G$41+1))))</f>
        <v>0.90631532776064461</v>
      </c>
      <c r="S7" s="745">
        <f ca="1">IF(K7=0,P7,IF(C7="","",IF(AND(J7=0,X7&gt;0),"immédiat",IF(X7&lt;=0,"Non Applicable",(J7-L7)/(N7+I7)))))</f>
        <v>1.1723176720376185</v>
      </c>
      <c r="T7" s="746">
        <f ca="1">IF(C7="","",NPV(Tx_a,OFFSET(F245,0,0,1,'Paramètres et Résultats'!$G$41))+E245)</f>
        <v>477382.67500501999</v>
      </c>
      <c r="U7" s="748">
        <f ca="1">IF(C7="","",IF(ISERROR(IRR(OFFSET(E245,0,0,1,'Paramètres et Résultats'!$G$41+1))),"Non Applicable",IRR(OFFSET(E245,0,0,1,'Paramètres et Résultats'!$G$41+1))))</f>
        <v>0.90631532776064461</v>
      </c>
      <c r="V7" s="47"/>
      <c r="W7" s="36"/>
      <c r="X7" s="248">
        <f t="shared" ref="X7:X26" ca="1" si="2">IFERROR(I7+N7,0)</f>
        <v>42650.555555555555</v>
      </c>
      <c r="Y7" s="159">
        <f t="shared" ref="Y7:Y26" si="3">IF(ISBLANK(J7),"",J7)</f>
        <v>50000</v>
      </c>
      <c r="AA7" s="242">
        <v>1</v>
      </c>
      <c r="AB7" s="244">
        <f t="shared" ref="AB7:AB26" si="4">F7</f>
        <v>350</v>
      </c>
      <c r="AC7" s="244">
        <f t="shared" ref="AC7:AC26" si="5">H7</f>
        <v>400</v>
      </c>
      <c r="AD7" s="244">
        <f t="shared" ref="AD7:AD26" si="6">IF(SUM(AB7:AC7)=0,0,SUM(AB7:AC7))</f>
        <v>750</v>
      </c>
      <c r="AE7" s="244">
        <f t="shared" ref="AE7:AE26" si="7">IF(SUM(AB7:AC7)=0,#N/A,SUM(AB7:AC7))</f>
        <v>750</v>
      </c>
      <c r="AF7" s="238">
        <f t="shared" ref="AF7:AF26" si="8">IF(AD7=0,#N/A,AD7/$AD$6)</f>
        <v>0.20314192849404117</v>
      </c>
      <c r="AG7" s="152"/>
      <c r="AH7" s="242">
        <v>1</v>
      </c>
      <c r="AI7" s="244">
        <f ca="1">F7*VLOOKUP(E7,'Paramètres et Résultats'!$AE$27:$AF$34,2,FALSE)</f>
        <v>29295</v>
      </c>
      <c r="AJ7" s="244">
        <f ca="1">H7*VLOOKUP(G7,'Paramètres et Résultats'!$AE$27:$AF$34,2,FALSE)</f>
        <v>16355.555555555555</v>
      </c>
      <c r="AK7" s="244">
        <f t="shared" ref="AK7:AK26" ca="1" si="9">IF(SUMIF(AI7:AJ7,"&lt;&gt;#N/A",AI7:AJ7)=0,0,SUMIF(AI7:AJ7,"&lt;&gt;#N/A",AI7:AJ7))</f>
        <v>45650.555555555555</v>
      </c>
      <c r="AL7" s="244">
        <f t="shared" ref="AL7:AL26" ca="1" si="10">IF(SUMIF(AI7:AJ7,"&lt;&gt;#N/A")=0,#N/A,SUMIF(AI7:AJ7,"&lt;&gt;#N/A"))</f>
        <v>45650.555555555555</v>
      </c>
      <c r="AM7" s="238">
        <f t="shared" ref="AM7:AM26" ca="1" si="11">IF(AK7=0,#N/A,AK7/$AK$6)</f>
        <v>0.22847096755178972</v>
      </c>
      <c r="AO7" s="242">
        <v>1</v>
      </c>
      <c r="AP7" s="244">
        <f>F7*SUMPRODUCT((E7='Conversion unités'!$F$60:$F$67)*'Conversion unités'!$G$60:$G$67)</f>
        <v>29400</v>
      </c>
      <c r="AQ7" s="244">
        <f>H7*SUMPRODUCT((G7='Conversion unités'!$F$60:$F$67)*'Conversion unités'!$G$60:$G$67)</f>
        <v>82000</v>
      </c>
      <c r="AR7" s="244">
        <f t="shared" ref="AR7:AR26" si="12">IF(SUM(AP7:AQ7)=0,0,SUM(AP7:AQ7)/1000)</f>
        <v>111.4</v>
      </c>
      <c r="AS7" s="244">
        <f t="shared" ref="AS7:AS26" si="13">IF(SUM(AP7:AQ7)=0,#N/A,SUM(AP7:AQ7)/1000)</f>
        <v>111.4</v>
      </c>
      <c r="AT7" s="238">
        <f t="shared" ref="AT7:AT26" si="14">IF(AR7=0,#N/A,AR7/$AR$6)</f>
        <v>0.17996768982229402</v>
      </c>
    </row>
    <row r="8" spans="1:85" s="118" customFormat="1" ht="25" x14ac:dyDescent="0.35">
      <c r="A8" s="334" t="str">
        <f t="shared" ref="A8:A26" si="15">D8</f>
        <v>Très ambitieux</v>
      </c>
      <c r="B8" s="500">
        <v>2</v>
      </c>
      <c r="C8" s="549" t="s">
        <v>357</v>
      </c>
      <c r="D8" s="550" t="s">
        <v>283</v>
      </c>
      <c r="E8" s="551" t="s">
        <v>57</v>
      </c>
      <c r="F8" s="552">
        <v>60</v>
      </c>
      <c r="G8" s="551"/>
      <c r="H8" s="553"/>
      <c r="I8" s="552"/>
      <c r="J8" s="554">
        <v>43500</v>
      </c>
      <c r="K8" s="555">
        <v>3990</v>
      </c>
      <c r="L8" s="749">
        <f>IF(C8="","",IF(ISBLANK(K8),"",K8*'Paramètres et Résultats'!$G$43))</f>
        <v>11970</v>
      </c>
      <c r="M8" s="750">
        <f t="shared" ref="M8:M26" si="16">IF(AND(ISBLANK(F8),ISBLANK(H8)),"",F8+H8)</f>
        <v>60</v>
      </c>
      <c r="N8" s="751">
        <f t="shared" ref="N8:N26" ca="1" si="17">IF(C8="","",AK8)</f>
        <v>5022</v>
      </c>
      <c r="O8" s="752">
        <f t="shared" si="1"/>
        <v>5.04</v>
      </c>
      <c r="P8" s="753">
        <f t="shared" ref="P8:P26" ca="1" si="18">IF(C8="","",IF(AND(J8=0,X8&gt;0),"immédiat",IF(X8&lt;=0,"Non Applicable",J8/(N8+I8))))</f>
        <v>8.6618876941457579</v>
      </c>
      <c r="Q8" s="754">
        <f ca="1">IF(C8="","",NPV(Tx_a,OFFSET(F188,0,0,1,'Paramètres et Résultats'!$G$41))+E188)</f>
        <v>17326.886137186688</v>
      </c>
      <c r="R8" s="755">
        <f ca="1">IF(C8="","",IF(ISERROR(IRR(OFFSET(E188,0,0,1,'Paramètres et Résultats'!$G$41+1))),"Non Applicable",IRR(OFFSET(E188,0,0,1,'Paramètres et Résultats'!$G$41+1))))</f>
        <v>0.14504336209682611</v>
      </c>
      <c r="S8" s="753">
        <f t="shared" ref="S8:S26" ca="1" si="19">IF(K8=0,P8,IF(C8="","",IF(AND(J8=0,X8&gt;0),"immédiat",IF(X8&lt;=0,"Non Applicable",(J8-L8)/(N8+I8)))))</f>
        <v>6.2783751493428914</v>
      </c>
      <c r="T8" s="754">
        <f ca="1">IF(C8="","",NPV(Tx_a,OFFSET(F246,0,0,1,'Paramètres et Résultats'!$G$41))+E246)</f>
        <v>29296.886137186688</v>
      </c>
      <c r="U8" s="756">
        <f ca="1">IF(C8="","",IF(ISERROR(IRR(OFFSET(E246,0,0,1,'Paramètres et Résultats'!$G$41+1))),"Non Applicable",IRR(OFFSET(E246,0,0,1,'Paramètres et Résultats'!$G$41+1))))</f>
        <v>0.19785122442789382</v>
      </c>
      <c r="V8" s="47"/>
      <c r="W8" s="36"/>
      <c r="X8" s="248">
        <f t="shared" ca="1" si="2"/>
        <v>5022</v>
      </c>
      <c r="Y8" s="159">
        <f t="shared" si="3"/>
        <v>43500</v>
      </c>
      <c r="AA8" s="242">
        <v>2</v>
      </c>
      <c r="AB8" s="244">
        <f t="shared" si="4"/>
        <v>60</v>
      </c>
      <c r="AC8" s="244">
        <f t="shared" si="5"/>
        <v>0</v>
      </c>
      <c r="AD8" s="244">
        <f t="shared" si="6"/>
        <v>60</v>
      </c>
      <c r="AE8" s="244">
        <f t="shared" si="7"/>
        <v>60</v>
      </c>
      <c r="AF8" s="238">
        <f t="shared" si="8"/>
        <v>1.6251354279523293E-2</v>
      </c>
      <c r="AG8" s="152"/>
      <c r="AH8" s="242">
        <v>2</v>
      </c>
      <c r="AI8" s="244">
        <f ca="1">F8*VLOOKUP(E8,'Paramètres et Résultats'!$AE$27:$AF$34,2,FALSE)</f>
        <v>5022</v>
      </c>
      <c r="AJ8" s="244" t="e">
        <f>H8*VLOOKUP(G8,'Paramètres et Résultats'!$AE$27:$AF$34,2,FALSE)</f>
        <v>#N/A</v>
      </c>
      <c r="AK8" s="244">
        <f t="shared" ca="1" si="9"/>
        <v>5022</v>
      </c>
      <c r="AL8" s="244">
        <f t="shared" ca="1" si="10"/>
        <v>5022</v>
      </c>
      <c r="AM8" s="238">
        <f t="shared" ca="1" si="11"/>
        <v>2.5134002972839062E-2</v>
      </c>
      <c r="AO8" s="242">
        <v>2</v>
      </c>
      <c r="AP8" s="244">
        <f>F8*SUMPRODUCT((E8='Conversion unités'!$F$60:$F$67)*'Conversion unités'!$G$60:$G$67)</f>
        <v>5040</v>
      </c>
      <c r="AQ8" s="244">
        <f>H8*SUMPRODUCT((G8='Conversion unités'!$F$60:$F$67)*'Conversion unités'!$G$60:$G$67)</f>
        <v>0</v>
      </c>
      <c r="AR8" s="244">
        <f t="shared" si="12"/>
        <v>5.04</v>
      </c>
      <c r="AS8" s="244">
        <f t="shared" si="13"/>
        <v>5.04</v>
      </c>
      <c r="AT8" s="238">
        <f t="shared" si="14"/>
        <v>8.1421647819063005E-3</v>
      </c>
    </row>
    <row r="9" spans="1:85" s="118" customFormat="1" ht="25" x14ac:dyDescent="0.35">
      <c r="A9" s="334" t="str">
        <f t="shared" si="15"/>
        <v>Très ambitieux</v>
      </c>
      <c r="B9" s="500">
        <v>3</v>
      </c>
      <c r="C9" s="549" t="s">
        <v>354</v>
      </c>
      <c r="D9" s="550" t="s">
        <v>283</v>
      </c>
      <c r="E9" s="551" t="s">
        <v>57</v>
      </c>
      <c r="F9" s="552">
        <v>101</v>
      </c>
      <c r="G9" s="551"/>
      <c r="H9" s="553"/>
      <c r="I9" s="552">
        <v>1000</v>
      </c>
      <c r="J9" s="554">
        <v>66000</v>
      </c>
      <c r="K9" s="555">
        <v>4220</v>
      </c>
      <c r="L9" s="749">
        <f>IF(C9="","",IF(ISBLANK(K9),"",K9*'Paramètres et Résultats'!$G$43))</f>
        <v>12660</v>
      </c>
      <c r="M9" s="750">
        <f t="shared" si="16"/>
        <v>101</v>
      </c>
      <c r="N9" s="751">
        <f t="shared" ref="N9:N16" ca="1" si="20">IF(C9="","",AK9)</f>
        <v>8453.7000000000007</v>
      </c>
      <c r="O9" s="752">
        <f t="shared" ref="O9:O16" si="21">IF(C9="","",IF(AR9=0,,AR9))</f>
        <v>8.484</v>
      </c>
      <c r="P9" s="753">
        <f t="shared" ref="P9:P16" ca="1" si="22">IF(C9="","",IF(AND(J9=0,X9&gt;0),"immédiat",IF(X9&lt;=0,"Non Applicable",J9/(N9+I9))))</f>
        <v>6.9813935284597557</v>
      </c>
      <c r="Q9" s="754">
        <f ca="1">IF(C9="","",NPV(Tx_a,OFFSET(F189,0,0,1,'Paramètres et Résultats'!$G$41))+E189)</f>
        <v>44905.488717356158</v>
      </c>
      <c r="R9" s="755">
        <f ca="1">IF(C9="","",IF(ISERROR(IRR(OFFSET(E189,0,0,1,'Paramètres et Résultats'!$G$41+1))),"Non Applicable",IRR(OFFSET(E189,0,0,1,'Paramètres et Résultats'!$G$41+1))))</f>
        <v>0.17496295276577589</v>
      </c>
      <c r="S9" s="753">
        <f t="shared" ref="S9:S16" ca="1" si="23">IF(K9=0,P9,IF(C9="","",IF(AND(J9=0,X9&gt;0),"immédiat",IF(X9&lt;=0,"Non Applicable",(J9-L9)/(N9+I9)))))</f>
        <v>5.6422353152733846</v>
      </c>
      <c r="T9" s="754">
        <f ca="1">IF(C9="","",NPV(Tx_a,OFFSET(F247,0,0,1,'Paramètres et Résultats'!$G$41))+E247)</f>
        <v>57565.488717356158</v>
      </c>
      <c r="U9" s="756">
        <f ca="1">IF(C9="","",IF(ISERROR(IRR(OFFSET(E247,0,0,1,'Paramètres et Résultats'!$G$41+1))),"Non Applicable",IRR(OFFSET(E247,0,0,1,'Paramètres et Résultats'!$G$41+1))))</f>
        <v>0.21383106621588643</v>
      </c>
      <c r="V9" s="47"/>
      <c r="W9" s="36"/>
      <c r="X9" s="248">
        <f t="shared" ca="1" si="2"/>
        <v>9453.7000000000007</v>
      </c>
      <c r="Y9" s="159">
        <f t="shared" si="3"/>
        <v>66000</v>
      </c>
      <c r="AA9" s="242">
        <v>3</v>
      </c>
      <c r="AB9" s="244">
        <f t="shared" si="4"/>
        <v>101</v>
      </c>
      <c r="AC9" s="244">
        <f t="shared" si="5"/>
        <v>0</v>
      </c>
      <c r="AD9" s="244">
        <f t="shared" si="6"/>
        <v>101</v>
      </c>
      <c r="AE9" s="244">
        <f t="shared" si="7"/>
        <v>101</v>
      </c>
      <c r="AF9" s="238">
        <f t="shared" si="8"/>
        <v>2.7356446370530876E-2</v>
      </c>
      <c r="AG9" s="152"/>
      <c r="AH9" s="242">
        <v>3</v>
      </c>
      <c r="AI9" s="244">
        <f ca="1">F9*VLOOKUP(E9,'Paramètres et Résultats'!$AE$27:$AF$34,2,FALSE)</f>
        <v>8453.7000000000007</v>
      </c>
      <c r="AJ9" s="244" t="e">
        <f>H9*VLOOKUP(G9,'Paramètres et Résultats'!$AE$27:$AF$34,2,FALSE)</f>
        <v>#N/A</v>
      </c>
      <c r="AK9" s="244">
        <f t="shared" ca="1" si="9"/>
        <v>8453.7000000000007</v>
      </c>
      <c r="AL9" s="244">
        <f t="shared" ca="1" si="10"/>
        <v>8453.7000000000007</v>
      </c>
      <c r="AM9" s="238">
        <f t="shared" ca="1" si="11"/>
        <v>4.2308905004279092E-2</v>
      </c>
      <c r="AO9" s="242">
        <v>3</v>
      </c>
      <c r="AP9" s="244">
        <f>F9*SUMPRODUCT((E9='Conversion unités'!$F$60:$F$67)*'Conversion unités'!$G$60:$G$67)</f>
        <v>8484</v>
      </c>
      <c r="AQ9" s="244">
        <f>H9*SUMPRODUCT((G9='Conversion unités'!$F$60:$F$67)*'Conversion unités'!$G$60:$G$67)</f>
        <v>0</v>
      </c>
      <c r="AR9" s="244">
        <f t="shared" si="12"/>
        <v>8.484</v>
      </c>
      <c r="AS9" s="244">
        <f t="shared" si="13"/>
        <v>8.484</v>
      </c>
      <c r="AT9" s="238">
        <f t="shared" si="14"/>
        <v>1.3705977382875606E-2</v>
      </c>
    </row>
    <row r="10" spans="1:85" s="118" customFormat="1" ht="25" x14ac:dyDescent="0.35">
      <c r="A10" s="334" t="str">
        <f t="shared" si="15"/>
        <v>Très ambitieux</v>
      </c>
      <c r="B10" s="500">
        <v>4</v>
      </c>
      <c r="C10" s="549" t="s">
        <v>353</v>
      </c>
      <c r="D10" s="550" t="s">
        <v>283</v>
      </c>
      <c r="E10" s="551" t="s">
        <v>57</v>
      </c>
      <c r="F10" s="552">
        <v>110</v>
      </c>
      <c r="G10" s="551"/>
      <c r="H10" s="553"/>
      <c r="I10" s="552"/>
      <c r="J10" s="554">
        <v>49500</v>
      </c>
      <c r="K10" s="555"/>
      <c r="L10" s="749" t="str">
        <f>IF(C10="","",IF(ISBLANK(K10),"",K10*'Paramètres et Résultats'!$G$43))</f>
        <v/>
      </c>
      <c r="M10" s="750">
        <f t="shared" si="16"/>
        <v>110</v>
      </c>
      <c r="N10" s="751">
        <f t="shared" ca="1" si="20"/>
        <v>9207</v>
      </c>
      <c r="O10" s="752">
        <f t="shared" si="21"/>
        <v>9.24</v>
      </c>
      <c r="P10" s="753">
        <f t="shared" ca="1" si="22"/>
        <v>5.376344086021505</v>
      </c>
      <c r="Q10" s="754">
        <f ca="1">IF(C10="","",NPV(Tx_a,OFFSET(F190,0,0,1,'Paramètres et Résultats'!$G$41))+E190)</f>
        <v>62015.957918175598</v>
      </c>
      <c r="R10" s="755">
        <f ca="1">IF(C10="","",IF(ISERROR(IRR(OFFSET(E190,0,0,1,'Paramètres et Résultats'!$G$41+1))),"Non Applicable",IRR(OFFSET(E190,0,0,1,'Paramètres et Résultats'!$G$41+1))))</f>
        <v>0.22786653363296416</v>
      </c>
      <c r="S10" s="753">
        <f t="shared" ca="1" si="23"/>
        <v>5.376344086021505</v>
      </c>
      <c r="T10" s="754">
        <f ca="1">IF(C10="","",NPV(Tx_a,OFFSET(F248,0,0,1,'Paramètres et Résultats'!$G$41))+E248)</f>
        <v>62015.957918175598</v>
      </c>
      <c r="U10" s="756">
        <f ca="1">IF(C10="","",IF(ISERROR(IRR(OFFSET(E248,0,0,1,'Paramètres et Résultats'!$G$41+1))),"Non Applicable",IRR(OFFSET(E248,0,0,1,'Paramètres et Résultats'!$G$41+1))))</f>
        <v>0.22786653363296416</v>
      </c>
      <c r="V10" s="47"/>
      <c r="W10" s="36"/>
      <c r="X10" s="248">
        <f t="shared" ca="1" si="2"/>
        <v>9207</v>
      </c>
      <c r="Y10" s="159">
        <f t="shared" si="3"/>
        <v>49500</v>
      </c>
      <c r="AA10" s="242">
        <v>4</v>
      </c>
      <c r="AB10" s="244">
        <f t="shared" si="4"/>
        <v>110</v>
      </c>
      <c r="AC10" s="244">
        <f t="shared" si="5"/>
        <v>0</v>
      </c>
      <c r="AD10" s="244">
        <f t="shared" si="6"/>
        <v>110</v>
      </c>
      <c r="AE10" s="244">
        <f t="shared" si="7"/>
        <v>110</v>
      </c>
      <c r="AF10" s="238">
        <f t="shared" si="8"/>
        <v>2.9794149512459372E-2</v>
      </c>
      <c r="AG10" s="152"/>
      <c r="AH10" s="242">
        <v>4</v>
      </c>
      <c r="AI10" s="244">
        <f ca="1">F10*VLOOKUP(E10,'Paramètres et Résultats'!$AE$27:$AF$34,2,FALSE)</f>
        <v>9207</v>
      </c>
      <c r="AJ10" s="244" t="e">
        <f>H10*VLOOKUP(G10,'Paramètres et Résultats'!$AE$27:$AF$34,2,FALSE)</f>
        <v>#N/A</v>
      </c>
      <c r="AK10" s="244">
        <f t="shared" ca="1" si="9"/>
        <v>9207</v>
      </c>
      <c r="AL10" s="244">
        <f t="shared" ca="1" si="10"/>
        <v>9207</v>
      </c>
      <c r="AM10" s="238">
        <f t="shared" ca="1" si="11"/>
        <v>4.6079005450204949E-2</v>
      </c>
      <c r="AO10" s="242">
        <v>4</v>
      </c>
      <c r="AP10" s="244">
        <f>F10*SUMPRODUCT((E10='Conversion unités'!$F$60:$F$67)*'Conversion unités'!$G$60:$G$67)</f>
        <v>9240</v>
      </c>
      <c r="AQ10" s="244">
        <f>H10*SUMPRODUCT((G10='Conversion unités'!$F$60:$F$67)*'Conversion unités'!$G$60:$G$67)</f>
        <v>0</v>
      </c>
      <c r="AR10" s="244">
        <f t="shared" si="12"/>
        <v>9.24</v>
      </c>
      <c r="AS10" s="244">
        <f t="shared" si="13"/>
        <v>9.24</v>
      </c>
      <c r="AT10" s="238">
        <f t="shared" si="14"/>
        <v>1.4927302100161551E-2</v>
      </c>
    </row>
    <row r="11" spans="1:85" s="118" customFormat="1" ht="15.5" x14ac:dyDescent="0.35">
      <c r="A11" s="334" t="str">
        <f t="shared" si="15"/>
        <v>Prioritaire</v>
      </c>
      <c r="B11" s="500">
        <v>5</v>
      </c>
      <c r="C11" s="549" t="s">
        <v>359</v>
      </c>
      <c r="D11" s="550" t="s">
        <v>281</v>
      </c>
      <c r="E11" s="556" t="s">
        <v>57</v>
      </c>
      <c r="F11" s="552">
        <v>105</v>
      </c>
      <c r="G11" s="556"/>
      <c r="H11" s="553"/>
      <c r="I11" s="552">
        <v>-1500</v>
      </c>
      <c r="J11" s="557">
        <v>1500</v>
      </c>
      <c r="K11" s="558"/>
      <c r="L11" s="749" t="str">
        <f>IF(C11="","",IF(ISBLANK(K11),"",K11*'Paramètres et Résultats'!$G$43))</f>
        <v/>
      </c>
      <c r="M11" s="750">
        <f t="shared" si="16"/>
        <v>105</v>
      </c>
      <c r="N11" s="751">
        <f t="shared" ca="1" si="20"/>
        <v>8788.5</v>
      </c>
      <c r="O11" s="752">
        <f t="shared" si="21"/>
        <v>8.82</v>
      </c>
      <c r="P11" s="753">
        <f t="shared" ca="1" si="22"/>
        <v>0.20580366330520683</v>
      </c>
      <c r="Q11" s="754">
        <f ca="1">IF(C11="","",NPV(Tx_a,OFFSET(F191,0,0,1,'Paramètres et Résultats'!$G$41))+E191)</f>
        <v>92176.705160438883</v>
      </c>
      <c r="R11" s="755">
        <f ca="1">IF(C11="","",IF(ISERROR(IRR(OFFSET(E191,0,0,1,'Paramètres et Résultats'!$G$41+1))),"Non Applicable",IRR(OFFSET(E191,0,0,1,'Paramètres et Résultats'!$G$41+1))))</f>
        <v>4.9191643280576729</v>
      </c>
      <c r="S11" s="753">
        <f t="shared" ca="1" si="23"/>
        <v>0.20580366330520683</v>
      </c>
      <c r="T11" s="754">
        <f ca="1">IF(C11="","",NPV(Tx_a,OFFSET(F249,0,0,1,'Paramètres et Résultats'!$G$41))+E249)</f>
        <v>92176.705160438883</v>
      </c>
      <c r="U11" s="756">
        <f ca="1">IF(C11="","",IF(ISERROR(IRR(OFFSET(E249,0,0,1,'Paramètres et Résultats'!$G$41+1))),"Non Applicable",IRR(OFFSET(E249,0,0,1,'Paramètres et Résultats'!$G$41+1))))</f>
        <v>4.9191643280576729</v>
      </c>
      <c r="V11" s="47"/>
      <c r="W11" s="36"/>
      <c r="X11" s="248">
        <f t="shared" ca="1" si="2"/>
        <v>7288.5</v>
      </c>
      <c r="Y11" s="159">
        <f t="shared" si="3"/>
        <v>1500</v>
      </c>
      <c r="AA11" s="242">
        <v>5</v>
      </c>
      <c r="AB11" s="244">
        <f t="shared" si="4"/>
        <v>105</v>
      </c>
      <c r="AC11" s="244">
        <f t="shared" si="5"/>
        <v>0</v>
      </c>
      <c r="AD11" s="244">
        <f t="shared" si="6"/>
        <v>105</v>
      </c>
      <c r="AE11" s="244">
        <f t="shared" si="7"/>
        <v>105</v>
      </c>
      <c r="AF11" s="238">
        <f t="shared" si="8"/>
        <v>2.8439869989165763E-2</v>
      </c>
      <c r="AG11" s="152"/>
      <c r="AH11" s="242">
        <v>5</v>
      </c>
      <c r="AI11" s="244">
        <f ca="1">F11*VLOOKUP(E11,'Paramètres et Résultats'!$AE$27:$AF$34,2,FALSE)</f>
        <v>8788.5</v>
      </c>
      <c r="AJ11" s="244" t="e">
        <f>H11*VLOOKUP(G11,'Paramètres et Résultats'!$AE$27:$AF$34,2,FALSE)</f>
        <v>#N/A</v>
      </c>
      <c r="AK11" s="244">
        <f t="shared" ca="1" si="9"/>
        <v>8788.5</v>
      </c>
      <c r="AL11" s="244">
        <f t="shared" ca="1" si="10"/>
        <v>8788.5</v>
      </c>
      <c r="AM11" s="238">
        <f t="shared" ca="1" si="11"/>
        <v>4.3984505202468355E-2</v>
      </c>
      <c r="AO11" s="242">
        <v>5</v>
      </c>
      <c r="AP11" s="244">
        <f>F11*SUMPRODUCT((E11='Conversion unités'!$F$60:$F$67)*'Conversion unités'!$G$60:$G$67)</f>
        <v>8820</v>
      </c>
      <c r="AQ11" s="244">
        <f>H11*SUMPRODUCT((G11='Conversion unités'!$F$60:$F$67)*'Conversion unités'!$G$60:$G$67)</f>
        <v>0</v>
      </c>
      <c r="AR11" s="244">
        <f t="shared" si="12"/>
        <v>8.82</v>
      </c>
      <c r="AS11" s="244">
        <f t="shared" si="13"/>
        <v>8.82</v>
      </c>
      <c r="AT11" s="238">
        <f t="shared" si="14"/>
        <v>1.4248788368336027E-2</v>
      </c>
    </row>
    <row r="12" spans="1:85" s="118" customFormat="1" ht="25" x14ac:dyDescent="0.35">
      <c r="A12" s="334" t="str">
        <f t="shared" si="15"/>
        <v>Ambitieux</v>
      </c>
      <c r="B12" s="500">
        <v>6</v>
      </c>
      <c r="C12" s="559" t="s">
        <v>377</v>
      </c>
      <c r="D12" s="550" t="s">
        <v>282</v>
      </c>
      <c r="E12" s="551" t="s">
        <v>58</v>
      </c>
      <c r="F12" s="552">
        <v>430</v>
      </c>
      <c r="G12" s="551"/>
      <c r="H12" s="553"/>
      <c r="I12" s="552"/>
      <c r="J12" s="554">
        <v>62100</v>
      </c>
      <c r="K12" s="555"/>
      <c r="L12" s="749" t="str">
        <f>IF(C12="","",IF(ISBLANK(K12),"",K12*'Paramètres et Résultats'!$G$43))</f>
        <v/>
      </c>
      <c r="M12" s="750">
        <f t="shared" si="16"/>
        <v>430</v>
      </c>
      <c r="N12" s="751">
        <f t="shared" ca="1" si="20"/>
        <v>17582.222222222223</v>
      </c>
      <c r="O12" s="752">
        <f t="shared" si="21"/>
        <v>88.15</v>
      </c>
      <c r="P12" s="753">
        <f t="shared" ca="1" si="22"/>
        <v>3.5319767441860463</v>
      </c>
      <c r="Q12" s="754">
        <f ca="1">IF(C12="","",NPV(Tx_a,OFFSET(F192,0,0,1,'Paramètres et Résultats'!$G$41))+E192)</f>
        <v>150857.35347467632</v>
      </c>
      <c r="R12" s="755">
        <f ca="1">IF(C12="","",IF(ISERROR(IRR(OFFSET(E192,0,0,1,'Paramètres et Résultats'!$G$41+1))),"Non Applicable",IRR(OFFSET(E192,0,0,1,'Paramètres et Résultats'!$G$41+1))))</f>
        <v>0.33064724251011479</v>
      </c>
      <c r="S12" s="753">
        <f t="shared" ca="1" si="23"/>
        <v>3.5319767441860463</v>
      </c>
      <c r="T12" s="754">
        <f ca="1">IF(C12="","",NPV(Tx_a,OFFSET(F250,0,0,1,'Paramètres et Résultats'!$G$41))+E250)</f>
        <v>150857.35347467632</v>
      </c>
      <c r="U12" s="756">
        <f ca="1">IF(C12="","",IF(ISERROR(IRR(OFFSET(E250,0,0,1,'Paramètres et Résultats'!$G$41+1))),"Non Applicable",IRR(OFFSET(E250,0,0,1,'Paramètres et Résultats'!$G$41+1))))</f>
        <v>0.33064724251011479</v>
      </c>
      <c r="V12" s="47"/>
      <c r="W12" s="36"/>
      <c r="X12" s="248">
        <f t="shared" ca="1" si="2"/>
        <v>17582.222222222223</v>
      </c>
      <c r="Y12" s="159">
        <f t="shared" si="3"/>
        <v>62100</v>
      </c>
      <c r="AA12" s="242">
        <v>6</v>
      </c>
      <c r="AB12" s="244">
        <f t="shared" si="4"/>
        <v>430</v>
      </c>
      <c r="AC12" s="244">
        <f t="shared" si="5"/>
        <v>0</v>
      </c>
      <c r="AD12" s="244">
        <f t="shared" si="6"/>
        <v>430</v>
      </c>
      <c r="AE12" s="244">
        <f t="shared" si="7"/>
        <v>430</v>
      </c>
      <c r="AF12" s="238">
        <f t="shared" si="8"/>
        <v>0.11646803900325027</v>
      </c>
      <c r="AG12" s="152"/>
      <c r="AH12" s="242">
        <v>6</v>
      </c>
      <c r="AI12" s="244">
        <f ca="1">F12*VLOOKUP(E12,'Paramètres et Résultats'!$AE$27:$AF$34,2,FALSE)</f>
        <v>17582.222222222223</v>
      </c>
      <c r="AJ12" s="244" t="e">
        <f>H12*VLOOKUP(G12,'Paramètres et Résultats'!$AE$27:$AF$34,2,FALSE)</f>
        <v>#N/A</v>
      </c>
      <c r="AK12" s="244">
        <f t="shared" ca="1" si="9"/>
        <v>17582.222222222223</v>
      </c>
      <c r="AL12" s="244">
        <f t="shared" ca="1" si="10"/>
        <v>17582.222222222223</v>
      </c>
      <c r="AM12" s="238">
        <f t="shared" ca="1" si="11"/>
        <v>8.7995146475995684E-2</v>
      </c>
      <c r="AO12" s="242">
        <v>6</v>
      </c>
      <c r="AP12" s="244">
        <f>F12*SUMPRODUCT((E12='Conversion unités'!$F$60:$F$67)*'Conversion unités'!$G$60:$G$67)</f>
        <v>88150</v>
      </c>
      <c r="AQ12" s="244">
        <f>H12*SUMPRODUCT((G12='Conversion unités'!$F$60:$F$67)*'Conversion unités'!$G$60:$G$67)</f>
        <v>0</v>
      </c>
      <c r="AR12" s="244">
        <f t="shared" si="12"/>
        <v>88.15</v>
      </c>
      <c r="AS12" s="244">
        <f t="shared" si="13"/>
        <v>88.15</v>
      </c>
      <c r="AT12" s="238">
        <f t="shared" si="14"/>
        <v>0.14240710823909533</v>
      </c>
    </row>
    <row r="13" spans="1:85" s="118" customFormat="1" ht="15.5" x14ac:dyDescent="0.35">
      <c r="A13" s="334" t="str">
        <f t="shared" si="15"/>
        <v>Prioritaire</v>
      </c>
      <c r="B13" s="500">
        <v>7</v>
      </c>
      <c r="C13" s="549" t="s">
        <v>349</v>
      </c>
      <c r="D13" s="550" t="s">
        <v>281</v>
      </c>
      <c r="E13" s="551" t="s">
        <v>58</v>
      </c>
      <c r="F13" s="552">
        <v>600</v>
      </c>
      <c r="G13" s="551"/>
      <c r="H13" s="553"/>
      <c r="I13" s="552"/>
      <c r="J13" s="554">
        <v>50000</v>
      </c>
      <c r="K13" s="555"/>
      <c r="L13" s="749" t="str">
        <f>IF(C13="","",IF(ISBLANK(K13),"",K13*'Paramètres et Résultats'!$G$43))</f>
        <v/>
      </c>
      <c r="M13" s="750">
        <f t="shared" si="16"/>
        <v>600</v>
      </c>
      <c r="N13" s="751">
        <f t="shared" ca="1" si="20"/>
        <v>24533.333333333332</v>
      </c>
      <c r="O13" s="752">
        <f t="shared" si="21"/>
        <v>123</v>
      </c>
      <c r="P13" s="753">
        <f t="shared" ca="1" si="22"/>
        <v>2.0380434782608696</v>
      </c>
      <c r="Q13" s="754">
        <f ca="1">IF(C13="","",NPV(Tx_a,OFFSET(F193,0,0,1,'Paramètres et Résultats'!$G$41))+E193)</f>
        <v>247149.79554606014</v>
      </c>
      <c r="R13" s="755">
        <f ca="1">IF(C13="","",IF(ISERROR(IRR(OFFSET(E193,0,0,1,'Paramètres et Résultats'!$G$41+1))),"Non Applicable",IRR(OFFSET(E193,0,0,1,'Paramètres et Résultats'!$G$41+1))))</f>
        <v>0.54043668379525567</v>
      </c>
      <c r="S13" s="753">
        <f t="shared" ca="1" si="23"/>
        <v>2.0380434782608696</v>
      </c>
      <c r="T13" s="754">
        <f ca="1">IF(C13="","",NPV(Tx_a,OFFSET(F251,0,0,1,'Paramètres et Résultats'!$G$41))+E251)</f>
        <v>247149.79554606014</v>
      </c>
      <c r="U13" s="756">
        <f ca="1">IF(C13="","",IF(ISERROR(IRR(OFFSET(E251,0,0,1,'Paramètres et Résultats'!$G$41+1))),"Non Applicable",IRR(OFFSET(E251,0,0,1,'Paramètres et Résultats'!$G$41+1))))</f>
        <v>0.54043668379525567</v>
      </c>
      <c r="V13" s="47"/>
      <c r="W13" s="36"/>
      <c r="X13" s="248">
        <f t="shared" ca="1" si="2"/>
        <v>24533.333333333332</v>
      </c>
      <c r="Y13" s="159">
        <f t="shared" si="3"/>
        <v>50000</v>
      </c>
      <c r="AA13" s="242">
        <v>7</v>
      </c>
      <c r="AB13" s="244">
        <f t="shared" si="4"/>
        <v>600</v>
      </c>
      <c r="AC13" s="244">
        <f t="shared" si="5"/>
        <v>0</v>
      </c>
      <c r="AD13" s="244">
        <f t="shared" si="6"/>
        <v>600</v>
      </c>
      <c r="AE13" s="244">
        <f t="shared" si="7"/>
        <v>600</v>
      </c>
      <c r="AF13" s="238">
        <f t="shared" si="8"/>
        <v>0.16251354279523295</v>
      </c>
      <c r="AG13" s="152"/>
      <c r="AH13" s="242">
        <v>7</v>
      </c>
      <c r="AI13" s="244">
        <f ca="1">F13*VLOOKUP(E13,'Paramètres et Résultats'!$AE$27:$AF$34,2,FALSE)</f>
        <v>24533.333333333332</v>
      </c>
      <c r="AJ13" s="244" t="e">
        <f>H13*VLOOKUP(G13,'Paramètres et Résultats'!$AE$27:$AF$34,2,FALSE)</f>
        <v>#N/A</v>
      </c>
      <c r="AK13" s="244">
        <f t="shared" ca="1" si="9"/>
        <v>24533.333333333332</v>
      </c>
      <c r="AL13" s="244">
        <f t="shared" ca="1" si="10"/>
        <v>24533.333333333332</v>
      </c>
      <c r="AM13" s="238">
        <f t="shared" ca="1" si="11"/>
        <v>0.12278392531534281</v>
      </c>
      <c r="AO13" s="242">
        <v>7</v>
      </c>
      <c r="AP13" s="244">
        <f>F13*SUMPRODUCT((E13='Conversion unités'!$F$60:$F$67)*'Conversion unités'!$G$60:$G$67)</f>
        <v>123000</v>
      </c>
      <c r="AQ13" s="244">
        <f>H13*SUMPRODUCT((G13='Conversion unités'!$F$60:$F$67)*'Conversion unités'!$G$60:$G$67)</f>
        <v>0</v>
      </c>
      <c r="AR13" s="244">
        <f t="shared" si="12"/>
        <v>123</v>
      </c>
      <c r="AS13" s="244">
        <f t="shared" si="13"/>
        <v>123</v>
      </c>
      <c r="AT13" s="238">
        <f t="shared" si="14"/>
        <v>0.1987075928917609</v>
      </c>
    </row>
    <row r="14" spans="1:85" s="118" customFormat="1" ht="15.5" x14ac:dyDescent="0.35">
      <c r="A14" s="334" t="str">
        <f t="shared" si="15"/>
        <v>Prioritaire</v>
      </c>
      <c r="B14" s="500">
        <v>8</v>
      </c>
      <c r="C14" s="560" t="s">
        <v>352</v>
      </c>
      <c r="D14" s="550" t="s">
        <v>281</v>
      </c>
      <c r="E14" s="551" t="s">
        <v>58</v>
      </c>
      <c r="F14" s="552">
        <v>366</v>
      </c>
      <c r="G14" s="551"/>
      <c r="H14" s="553"/>
      <c r="I14" s="552"/>
      <c r="J14" s="554">
        <v>5300</v>
      </c>
      <c r="K14" s="555">
        <v>415</v>
      </c>
      <c r="L14" s="749">
        <f>IF(C14="","",IF(ISBLANK(K14),"",K14*'Paramètres et Résultats'!$G$43))</f>
        <v>1245</v>
      </c>
      <c r="M14" s="750">
        <f t="shared" si="16"/>
        <v>366</v>
      </c>
      <c r="N14" s="751">
        <f t="shared" ca="1" si="20"/>
        <v>14965.333333333332</v>
      </c>
      <c r="O14" s="752">
        <f t="shared" si="21"/>
        <v>75.03</v>
      </c>
      <c r="P14" s="753">
        <f t="shared" ca="1" si="22"/>
        <v>0.35415181753385605</v>
      </c>
      <c r="Q14" s="754">
        <f ca="1">IF(C14="","",NPV(Tx_a,OFFSET(F194,0,0,1,'Paramètres et Résultats'!$G$41))+E194)</f>
        <v>175961.37528309666</v>
      </c>
      <c r="R14" s="755">
        <f ca="1">IF(C14="","",IF(ISERROR(IRR(OFFSET(E194,0,0,1,'Paramètres et Résultats'!$G$41+1))),"Non Applicable",IRR(OFFSET(E194,0,0,1,'Paramètres et Résultats'!$G$41+1))))</f>
        <v>2.8736477987250844</v>
      </c>
      <c r="S14" s="753">
        <f t="shared" ca="1" si="23"/>
        <v>0.27095955096222385</v>
      </c>
      <c r="T14" s="754">
        <f ca="1">IF(C14="","",NPV(Tx_a,OFFSET(F252,0,0,1,'Paramètres et Résultats'!$G$41))+E252)</f>
        <v>177206.37528309666</v>
      </c>
      <c r="U14" s="756">
        <f ca="1">IF(C14="","",IF(ISERROR(IRR(OFFSET(E252,0,0,1,'Paramètres et Résultats'!$G$41+1))),"Non Applicable",IRR(OFFSET(E252,0,0,1,'Paramètres et Résultats'!$G$41+1))))</f>
        <v>3.7405877517013675</v>
      </c>
      <c r="V14" s="47"/>
      <c r="W14" s="36"/>
      <c r="X14" s="248">
        <f t="shared" ca="1" si="2"/>
        <v>14965.333333333332</v>
      </c>
      <c r="Y14" s="159">
        <f t="shared" si="3"/>
        <v>5300</v>
      </c>
      <c r="AA14" s="242">
        <v>8</v>
      </c>
      <c r="AB14" s="244">
        <f t="shared" si="4"/>
        <v>366</v>
      </c>
      <c r="AC14" s="244">
        <f t="shared" si="5"/>
        <v>0</v>
      </c>
      <c r="AD14" s="244">
        <f t="shared" si="6"/>
        <v>366</v>
      </c>
      <c r="AE14" s="244">
        <f t="shared" si="7"/>
        <v>366</v>
      </c>
      <c r="AF14" s="238">
        <f t="shared" si="8"/>
        <v>9.9133261105092088E-2</v>
      </c>
      <c r="AG14" s="202"/>
      <c r="AH14" s="242">
        <v>8</v>
      </c>
      <c r="AI14" s="244">
        <f ca="1">F14*VLOOKUP(E14,'Paramètres et Résultats'!$AE$27:$AF$34,2,FALSE)</f>
        <v>14965.333333333332</v>
      </c>
      <c r="AJ14" s="244" t="e">
        <f>H14*VLOOKUP(G14,'Paramètres et Résultats'!$AE$27:$AF$34,2,FALSE)</f>
        <v>#N/A</v>
      </c>
      <c r="AK14" s="244">
        <f t="shared" ca="1" si="9"/>
        <v>14965.333333333332</v>
      </c>
      <c r="AL14" s="244">
        <f t="shared" ca="1" si="10"/>
        <v>14965.333333333332</v>
      </c>
      <c r="AM14" s="238">
        <f t="shared" ca="1" si="11"/>
        <v>7.4898194442359109E-2</v>
      </c>
      <c r="AO14" s="242">
        <v>8</v>
      </c>
      <c r="AP14" s="244">
        <f>F14*SUMPRODUCT((E14='Conversion unités'!$F$60:$F$67)*'Conversion unités'!$G$60:$G$67)</f>
        <v>75030</v>
      </c>
      <c r="AQ14" s="244">
        <f>H14*SUMPRODUCT((G14='Conversion unités'!$F$60:$F$67)*'Conversion unités'!$G$60:$G$67)</f>
        <v>0</v>
      </c>
      <c r="AR14" s="244">
        <f t="shared" si="12"/>
        <v>75.03</v>
      </c>
      <c r="AS14" s="244">
        <f t="shared" si="13"/>
        <v>75.03</v>
      </c>
      <c r="AT14" s="238">
        <f t="shared" si="14"/>
        <v>0.12121163166397415</v>
      </c>
    </row>
    <row r="15" spans="1:85" s="118" customFormat="1" ht="25" x14ac:dyDescent="0.35">
      <c r="A15" s="334" t="str">
        <f t="shared" si="15"/>
        <v>Ambitieux</v>
      </c>
      <c r="B15" s="500">
        <v>9</v>
      </c>
      <c r="C15" s="549" t="s">
        <v>356</v>
      </c>
      <c r="D15" s="550" t="s">
        <v>282</v>
      </c>
      <c r="E15" s="551" t="s">
        <v>58</v>
      </c>
      <c r="F15" s="552">
        <v>700</v>
      </c>
      <c r="G15" s="551"/>
      <c r="H15" s="553"/>
      <c r="I15" s="552"/>
      <c r="J15" s="554">
        <v>65000</v>
      </c>
      <c r="K15" s="555"/>
      <c r="L15" s="749" t="str">
        <f>IF(C15="","",IF(ISBLANK(K15),"",K15*'Paramètres et Résultats'!$G$43))</f>
        <v/>
      </c>
      <c r="M15" s="750">
        <f t="shared" si="16"/>
        <v>700</v>
      </c>
      <c r="N15" s="751">
        <f t="shared" ca="1" si="20"/>
        <v>28622.222222222219</v>
      </c>
      <c r="O15" s="752">
        <f t="shared" si="21"/>
        <v>143.5</v>
      </c>
      <c r="P15" s="753">
        <f t="shared" ca="1" si="22"/>
        <v>2.270962732919255</v>
      </c>
      <c r="Q15" s="754">
        <f ca="1">IF(C15="","",NPV(Tx_a,OFFSET(F195,0,0,1,'Paramètres et Résultats'!$G$41))+E195)</f>
        <v>281674.76147040335</v>
      </c>
      <c r="R15" s="755">
        <f ca="1">IF(C15="","",IF(ISERROR(IRR(OFFSET(E195,0,0,1,'Paramètres et Résultats'!$G$41+1))),"Non Applicable",IRR(OFFSET(E195,0,0,1,'Paramètres et Résultats'!$G$41+1))))</f>
        <v>0.48993990358473383</v>
      </c>
      <c r="S15" s="753">
        <f t="shared" ca="1" si="23"/>
        <v>2.270962732919255</v>
      </c>
      <c r="T15" s="754">
        <f ca="1">IF(C15="","",NPV(Tx_a,OFFSET(F253,0,0,1,'Paramètres et Résultats'!$G$41))+E253)</f>
        <v>281674.76147040335</v>
      </c>
      <c r="U15" s="756">
        <f ca="1">IF(C15="","",IF(ISERROR(IRR(OFFSET(E253,0,0,1,'Paramètres et Résultats'!$G$41+1))),"Non Applicable",IRR(OFFSET(E253,0,0,1,'Paramètres et Résultats'!$G$41+1))))</f>
        <v>0.48993990358473383</v>
      </c>
      <c r="V15" s="47"/>
      <c r="W15" s="36"/>
      <c r="X15" s="248">
        <f t="shared" ca="1" si="2"/>
        <v>28622.222222222219</v>
      </c>
      <c r="Y15" s="159">
        <f t="shared" si="3"/>
        <v>65000</v>
      </c>
      <c r="AA15" s="242">
        <v>9</v>
      </c>
      <c r="AB15" s="244">
        <f t="shared" si="4"/>
        <v>700</v>
      </c>
      <c r="AC15" s="244">
        <f t="shared" si="5"/>
        <v>0</v>
      </c>
      <c r="AD15" s="244">
        <f t="shared" si="6"/>
        <v>700</v>
      </c>
      <c r="AE15" s="244">
        <f t="shared" si="7"/>
        <v>700</v>
      </c>
      <c r="AF15" s="238">
        <f t="shared" si="8"/>
        <v>0.18959913326110509</v>
      </c>
      <c r="AG15" s="202"/>
      <c r="AH15" s="242">
        <v>9</v>
      </c>
      <c r="AI15" s="244">
        <f ca="1">F15*VLOOKUP(E15,'Paramètres et Résultats'!$AE$27:$AF$34,2,FALSE)</f>
        <v>28622.222222222219</v>
      </c>
      <c r="AJ15" s="244" t="e">
        <f>H15*VLOOKUP(G15,'Paramètres et Résultats'!$AE$27:$AF$34,2,FALSE)</f>
        <v>#N/A</v>
      </c>
      <c r="AK15" s="244">
        <f t="shared" ca="1" si="9"/>
        <v>28622.222222222219</v>
      </c>
      <c r="AL15" s="244">
        <f t="shared" ca="1" si="10"/>
        <v>28622.222222222219</v>
      </c>
      <c r="AM15" s="238">
        <f t="shared" ca="1" si="11"/>
        <v>0.14324791286789995</v>
      </c>
      <c r="AO15" s="242">
        <v>9</v>
      </c>
      <c r="AP15" s="244">
        <f>F15*SUMPRODUCT((E15='Conversion unités'!$F$60:$F$67)*'Conversion unités'!$G$60:$G$67)</f>
        <v>143500</v>
      </c>
      <c r="AQ15" s="244">
        <f>H15*SUMPRODUCT((G15='Conversion unités'!$F$60:$F$67)*'Conversion unités'!$G$60:$G$67)</f>
        <v>0</v>
      </c>
      <c r="AR15" s="244">
        <f t="shared" si="12"/>
        <v>143.5</v>
      </c>
      <c r="AS15" s="244">
        <f t="shared" si="13"/>
        <v>143.5</v>
      </c>
      <c r="AT15" s="238">
        <f t="shared" si="14"/>
        <v>0.23182552504038773</v>
      </c>
    </row>
    <row r="16" spans="1:85" s="118" customFormat="1" ht="14" x14ac:dyDescent="0.3">
      <c r="A16" s="334" t="str">
        <f t="shared" si="15"/>
        <v>Prioritaire</v>
      </c>
      <c r="B16" s="500">
        <v>10</v>
      </c>
      <c r="C16" s="549" t="s">
        <v>351</v>
      </c>
      <c r="D16" s="550" t="s">
        <v>281</v>
      </c>
      <c r="E16" s="551" t="s">
        <v>57</v>
      </c>
      <c r="F16" s="552">
        <v>100</v>
      </c>
      <c r="G16" s="551"/>
      <c r="H16" s="553"/>
      <c r="I16" s="552">
        <v>-500</v>
      </c>
      <c r="J16" s="554">
        <v>5000</v>
      </c>
      <c r="K16" s="555"/>
      <c r="L16" s="749" t="str">
        <f>IF(C16="","",IF(ISBLANK(K16),"",K16*'Paramètres et Résultats'!$G$43))</f>
        <v/>
      </c>
      <c r="M16" s="750">
        <f t="shared" si="16"/>
        <v>100</v>
      </c>
      <c r="N16" s="751">
        <f t="shared" ca="1" si="20"/>
        <v>8370</v>
      </c>
      <c r="O16" s="752">
        <f t="shared" si="21"/>
        <v>8.4</v>
      </c>
      <c r="P16" s="753">
        <f t="shared" ca="1" si="22"/>
        <v>0.63532401524777637</v>
      </c>
      <c r="Q16" s="754">
        <f ca="1">IF(C16="","",NPV(Tx_a,OFFSET(F196,0,0,1,'Paramètres et Résultats'!$G$41))+E196)</f>
        <v>92121.36170209854</v>
      </c>
      <c r="R16" s="755">
        <f ca="1">IF(C16="","",IF(ISERROR(IRR(OFFSET(E196,0,0,1,'Paramètres et Résultats'!$G$41+1))),"Non Applicable",IRR(OFFSET(E196,0,0,1,'Paramètres et Résultats'!$G$41+1))))</f>
        <v>1.6270729851766443</v>
      </c>
      <c r="S16" s="753">
        <f t="shared" ca="1" si="23"/>
        <v>0.63532401524777637</v>
      </c>
      <c r="T16" s="754">
        <f ca="1">IF(C16="","",NPV(Tx_a,OFFSET(F254,0,0,1,'Paramètres et Résultats'!$G$41))+E254)</f>
        <v>92121.36170209854</v>
      </c>
      <c r="U16" s="756">
        <f ca="1">IF(C16="","",IF(ISERROR(IRR(OFFSET(E254,0,0,1,'Paramètres et Résultats'!$G$41+1))),"Non Applicable",IRR(OFFSET(E254,0,0,1,'Paramètres et Résultats'!$G$41+1))))</f>
        <v>1.6270729851766443</v>
      </c>
      <c r="V16" s="154"/>
      <c r="W16" s="36"/>
      <c r="X16" s="248">
        <f t="shared" ca="1" si="2"/>
        <v>7870</v>
      </c>
      <c r="Y16" s="159">
        <f t="shared" si="3"/>
        <v>5000</v>
      </c>
      <c r="AA16" s="242">
        <v>10</v>
      </c>
      <c r="AB16" s="244">
        <f t="shared" si="4"/>
        <v>100</v>
      </c>
      <c r="AC16" s="244">
        <f t="shared" si="5"/>
        <v>0</v>
      </c>
      <c r="AD16" s="244">
        <f t="shared" si="6"/>
        <v>100</v>
      </c>
      <c r="AE16" s="244">
        <f t="shared" si="7"/>
        <v>100</v>
      </c>
      <c r="AF16" s="238">
        <f t="shared" si="8"/>
        <v>2.7085590465872156E-2</v>
      </c>
      <c r="AG16" s="202"/>
      <c r="AH16" s="242">
        <v>10</v>
      </c>
      <c r="AI16" s="244">
        <f ca="1">F16*VLOOKUP(E16,'Paramètres et Résultats'!$AE$27:$AF$34,2,FALSE)</f>
        <v>8370</v>
      </c>
      <c r="AJ16" s="244" t="e">
        <f>H16*VLOOKUP(G16,'Paramètres et Résultats'!$AE$27:$AF$34,2,FALSE)</f>
        <v>#N/A</v>
      </c>
      <c r="AK16" s="244">
        <f t="shared" ca="1" si="9"/>
        <v>8370</v>
      </c>
      <c r="AL16" s="244">
        <f t="shared" ca="1" si="10"/>
        <v>8370</v>
      </c>
      <c r="AM16" s="238">
        <f t="shared" ca="1" si="11"/>
        <v>4.1890004954731767E-2</v>
      </c>
      <c r="AO16" s="242">
        <v>10</v>
      </c>
      <c r="AP16" s="244">
        <f>F16*SUMPRODUCT((E16='Conversion unités'!$F$60:$F$67)*'Conversion unités'!$G$60:$G$67)</f>
        <v>8400</v>
      </c>
      <c r="AQ16" s="244">
        <f>H16*SUMPRODUCT((G16='Conversion unités'!$F$60:$F$67)*'Conversion unités'!$G$60:$G$67)</f>
        <v>0</v>
      </c>
      <c r="AR16" s="244">
        <f t="shared" si="12"/>
        <v>8.4</v>
      </c>
      <c r="AS16" s="244">
        <f t="shared" si="13"/>
        <v>8.4</v>
      </c>
      <c r="AT16" s="238">
        <f t="shared" si="14"/>
        <v>1.3570274636510501E-2</v>
      </c>
    </row>
    <row r="17" spans="1:82" s="118" customFormat="1" ht="37.5" outlineLevel="1" x14ac:dyDescent="0.35">
      <c r="A17" s="334" t="str">
        <f t="shared" si="15"/>
        <v>Très ambitieux</v>
      </c>
      <c r="B17" s="500">
        <v>11</v>
      </c>
      <c r="C17" s="549" t="s">
        <v>350</v>
      </c>
      <c r="D17" s="550" t="s">
        <v>283</v>
      </c>
      <c r="E17" s="551" t="s">
        <v>57</v>
      </c>
      <c r="F17" s="552">
        <v>105</v>
      </c>
      <c r="G17" s="551"/>
      <c r="H17" s="553"/>
      <c r="I17" s="552"/>
      <c r="J17" s="554">
        <v>89000</v>
      </c>
      <c r="K17" s="555">
        <v>2900</v>
      </c>
      <c r="L17" s="749">
        <f>IF(C17="","",IF(ISBLANK(K17),"",K17*'Paramètres et Résultats'!$G$43))</f>
        <v>8700</v>
      </c>
      <c r="M17" s="750">
        <f t="shared" si="16"/>
        <v>105</v>
      </c>
      <c r="N17" s="751">
        <f ca="1">IF(C17="","",AK17)</f>
        <v>8788.5</v>
      </c>
      <c r="O17" s="752">
        <f>IF(C17="","",IF(AR17=0,,AR17))</f>
        <v>8.82</v>
      </c>
      <c r="P17" s="753">
        <f ca="1">IF(C17="","",IF(AND(J17=0,X17&gt;0),"immédiat",IF(X17&lt;=0,"Non Applicable",J17/(N17+I17))))</f>
        <v>10.126870341924105</v>
      </c>
      <c r="Q17" s="754">
        <f ca="1">IF(C17="","",NPV(Tx_a,OFFSET(F197,0,0,1,'Paramètres et Résultats'!$G$41))+E197)</f>
        <v>17447.050740076709</v>
      </c>
      <c r="R17" s="755">
        <f ca="1">IF(C17="","",IF(ISERROR(IRR(OFFSET(E197,0,0,1,'Paramètres et Résultats'!$G$41+1))),"Non Applicable",IRR(OFFSET(E197,0,0,1,'Paramètres et Résultats'!$G$41+1))))</f>
        <v>0.12300155998893492</v>
      </c>
      <c r="S17" s="753">
        <f ca="1">IF(K17=0,P17,IF(C17="","",IF(AND(J17=0,X17&gt;0),"immédiat",IF(X17&lt;=0,"Non Applicable",(J17-L17)/(N17+I17)))))</f>
        <v>9.1369403197360182</v>
      </c>
      <c r="T17" s="754">
        <f ca="1">IF(C17="","",NPV(Tx_a,OFFSET(F255,0,0,1,'Paramètres et Résultats'!$G$41))+E255)</f>
        <v>26147.050740076709</v>
      </c>
      <c r="U17" s="756">
        <f ca="1">IF(C17="","",IF(ISERROR(IRR(OFFSET(E255,0,0,1,'Paramètres et Résultats'!$G$41+1))),"Non Applicable",IRR(OFFSET(E255,0,0,1,'Paramètres et Résultats'!$G$41+1))))</f>
        <v>0.13728391429335618</v>
      </c>
      <c r="V17" s="47"/>
      <c r="W17" s="36"/>
      <c r="X17" s="248">
        <f t="shared" ca="1" si="2"/>
        <v>8788.5</v>
      </c>
      <c r="Y17" s="159">
        <f t="shared" si="3"/>
        <v>89000</v>
      </c>
      <c r="AA17" s="242">
        <v>11</v>
      </c>
      <c r="AB17" s="244">
        <f t="shared" si="4"/>
        <v>105</v>
      </c>
      <c r="AC17" s="244">
        <f t="shared" si="5"/>
        <v>0</v>
      </c>
      <c r="AD17" s="244">
        <f t="shared" si="6"/>
        <v>105</v>
      </c>
      <c r="AE17" s="244">
        <f t="shared" si="7"/>
        <v>105</v>
      </c>
      <c r="AF17" s="238">
        <f t="shared" si="8"/>
        <v>2.8439869989165763E-2</v>
      </c>
      <c r="AG17" s="152"/>
      <c r="AH17" s="242">
        <v>11</v>
      </c>
      <c r="AI17" s="244">
        <f ca="1">F17*VLOOKUP(E17,'Paramètres et Résultats'!$AE$27:$AF$34,2,FALSE)</f>
        <v>8788.5</v>
      </c>
      <c r="AJ17" s="244" t="e">
        <f>H17*VLOOKUP(G17,'Paramètres et Résultats'!$AE$27:$AF$34,2,FALSE)</f>
        <v>#N/A</v>
      </c>
      <c r="AK17" s="244">
        <f t="shared" ca="1" si="9"/>
        <v>8788.5</v>
      </c>
      <c r="AL17" s="244">
        <f t="shared" ca="1" si="10"/>
        <v>8788.5</v>
      </c>
      <c r="AM17" s="238">
        <f t="shared" ca="1" si="11"/>
        <v>4.3984505202468355E-2</v>
      </c>
      <c r="AO17" s="242">
        <v>1</v>
      </c>
      <c r="AP17" s="244">
        <f>F17*SUMPRODUCT((E17='Conversion unités'!$F$60:$F$67)*'Conversion unités'!$G$60:$G$67)</f>
        <v>8820</v>
      </c>
      <c r="AQ17" s="244">
        <f>H17*SUMPRODUCT((G17='Conversion unités'!$F$60:$F$67)*'Conversion unités'!$G$60:$G$67)</f>
        <v>0</v>
      </c>
      <c r="AR17" s="244">
        <f t="shared" si="12"/>
        <v>8.82</v>
      </c>
      <c r="AS17" s="244">
        <f t="shared" si="13"/>
        <v>8.82</v>
      </c>
      <c r="AT17" s="238">
        <f t="shared" si="14"/>
        <v>1.4248788368336027E-2</v>
      </c>
    </row>
    <row r="18" spans="1:82" s="118" customFormat="1" ht="25" outlineLevel="1" x14ac:dyDescent="0.35">
      <c r="A18" s="334" t="str">
        <f t="shared" si="15"/>
        <v>Très ambitieux</v>
      </c>
      <c r="B18" s="500">
        <v>12</v>
      </c>
      <c r="C18" s="560" t="s">
        <v>309</v>
      </c>
      <c r="D18" s="550" t="s">
        <v>283</v>
      </c>
      <c r="E18" s="551" t="s">
        <v>57</v>
      </c>
      <c r="F18" s="552">
        <v>210</v>
      </c>
      <c r="G18" s="551"/>
      <c r="H18" s="553"/>
      <c r="I18" s="552"/>
      <c r="J18" s="554">
        <v>82000</v>
      </c>
      <c r="K18" s="555"/>
      <c r="L18" s="749" t="str">
        <f>IF(C18="","",IF(ISBLANK(K18),"",K18*'Paramètres et Résultats'!$G$43))</f>
        <v/>
      </c>
      <c r="M18" s="750">
        <f t="shared" si="16"/>
        <v>210</v>
      </c>
      <c r="N18" s="751">
        <f ca="1">IF(C18="","",AK18)</f>
        <v>17577</v>
      </c>
      <c r="O18" s="752">
        <f>IF(C18="","",IF(AR18=0,,AR18))</f>
        <v>17.64</v>
      </c>
      <c r="P18" s="753">
        <f ca="1">IF(C18="","",IF(AND(J18=0,X18&gt;0),"immédiat",IF(X18&lt;=0,"Non Applicable",J18/(N18+I18))))</f>
        <v>4.6651874608863855</v>
      </c>
      <c r="Q18" s="754">
        <f ca="1">IF(C18="","",NPV(Tx_a,OFFSET(F198,0,0,1,'Paramètres et Résultats'!$G$41))+E198)</f>
        <v>130894.10148015342</v>
      </c>
      <c r="R18" s="755">
        <f ca="1">IF(C18="","",IF(ISERROR(IRR(OFFSET(E198,0,0,1,'Paramètres et Résultats'!$G$41+1))),"Non Applicable",IRR(OFFSET(E198,0,0,1,'Paramètres et Résultats'!$G$41+1))))</f>
        <v>0.25864040504917196</v>
      </c>
      <c r="S18" s="753">
        <f ca="1">IF(K18=0,P18,IF(C18="","",IF(AND(J18=0,X18&gt;0),"immédiat",IF(X18&lt;=0,"Non Applicable",(J18-L18)/(N18+I18)))))</f>
        <v>4.6651874608863855</v>
      </c>
      <c r="T18" s="754">
        <f ca="1">IF(C18="","",NPV(Tx_a,OFFSET(F256,0,0,1,'Paramètres et Résultats'!$G$41))+E256)</f>
        <v>130894.10148015342</v>
      </c>
      <c r="U18" s="756">
        <f ca="1">IF(C18="","",IF(ISERROR(IRR(OFFSET(E256,0,0,1,'Paramètres et Résultats'!$G$41+1))),"Non Applicable",IRR(OFFSET(E256,0,0,1,'Paramètres et Résultats'!$G$41+1))))</f>
        <v>0.25864040504917196</v>
      </c>
      <c r="V18" s="47"/>
      <c r="W18" s="36"/>
      <c r="X18" s="248">
        <f t="shared" ca="1" si="2"/>
        <v>17577</v>
      </c>
      <c r="Y18" s="159">
        <f t="shared" si="3"/>
        <v>82000</v>
      </c>
      <c r="AA18" s="242">
        <v>12</v>
      </c>
      <c r="AB18" s="244">
        <f t="shared" si="4"/>
        <v>210</v>
      </c>
      <c r="AC18" s="244">
        <f t="shared" si="5"/>
        <v>0</v>
      </c>
      <c r="AD18" s="244">
        <f t="shared" si="6"/>
        <v>210</v>
      </c>
      <c r="AE18" s="244">
        <f t="shared" si="7"/>
        <v>210</v>
      </c>
      <c r="AF18" s="238">
        <f t="shared" si="8"/>
        <v>5.6879739978331526E-2</v>
      </c>
      <c r="AG18" s="152"/>
      <c r="AH18" s="242">
        <v>12</v>
      </c>
      <c r="AI18" s="244">
        <f ca="1">F18*VLOOKUP(E18,'Paramètres et Résultats'!$AE$27:$AF$34,2,FALSE)</f>
        <v>17577</v>
      </c>
      <c r="AJ18" s="244" t="e">
        <f>H18*VLOOKUP(G18,'Paramètres et Résultats'!$AE$27:$AF$34,2,FALSE)</f>
        <v>#N/A</v>
      </c>
      <c r="AK18" s="244">
        <f t="shared" ca="1" si="9"/>
        <v>17577</v>
      </c>
      <c r="AL18" s="244">
        <f t="shared" ca="1" si="10"/>
        <v>17577</v>
      </c>
      <c r="AM18" s="238">
        <f t="shared" ca="1" si="11"/>
        <v>8.7969010404936709E-2</v>
      </c>
      <c r="AO18" s="242">
        <v>2</v>
      </c>
      <c r="AP18" s="244">
        <f>F18*SUMPRODUCT((E18='Conversion unités'!$F$60:$F$67)*'Conversion unités'!$G$60:$G$67)</f>
        <v>17640</v>
      </c>
      <c r="AQ18" s="244">
        <f>H18*SUMPRODUCT((G18='Conversion unités'!$F$60:$F$67)*'Conversion unités'!$G$60:$G$67)</f>
        <v>0</v>
      </c>
      <c r="AR18" s="244">
        <f t="shared" si="12"/>
        <v>17.64</v>
      </c>
      <c r="AS18" s="244">
        <f t="shared" si="13"/>
        <v>17.64</v>
      </c>
      <c r="AT18" s="238">
        <f t="shared" si="14"/>
        <v>2.8497576736672053E-2</v>
      </c>
    </row>
    <row r="19" spans="1:82" s="118" customFormat="1" ht="15.5" outlineLevel="1" x14ac:dyDescent="0.35">
      <c r="A19" s="334" t="str">
        <f t="shared" si="15"/>
        <v>Non priorisé</v>
      </c>
      <c r="B19" s="500">
        <v>13</v>
      </c>
      <c r="C19" s="549" t="s">
        <v>358</v>
      </c>
      <c r="D19" s="550" t="s">
        <v>296</v>
      </c>
      <c r="E19" s="551" t="s">
        <v>58</v>
      </c>
      <c r="F19" s="552">
        <v>55</v>
      </c>
      <c r="G19" s="551"/>
      <c r="H19" s="553"/>
      <c r="I19" s="552"/>
      <c r="J19" s="554">
        <v>0</v>
      </c>
      <c r="K19" s="555"/>
      <c r="L19" s="749" t="str">
        <f>IF(C19="","",IF(ISBLANK(K19),"",K19*'Paramètres et Résultats'!$G$43))</f>
        <v/>
      </c>
      <c r="M19" s="750">
        <f t="shared" si="16"/>
        <v>55</v>
      </c>
      <c r="N19" s="751">
        <f ca="1">IF(C19="","",AK19)</f>
        <v>2248.8888888888887</v>
      </c>
      <c r="O19" s="752">
        <f>IF(C19="","",IF(AR19=0,,AR19))</f>
        <v>11.275</v>
      </c>
      <c r="P19" s="753" t="str">
        <f ca="1">IF(C19="","",IF(AND(J19=0,X19&gt;0),"immédiat",IF(X19&lt;=0,"Non Applicable",J19/(N19+I19))))</f>
        <v>immédiat</v>
      </c>
      <c r="Q19" s="754">
        <f ca="1">IF(C19="","",NPV(Tx_a,OFFSET(F199,0,0,1,'Paramètres et Résultats'!$G$41))+E199)</f>
        <v>27238.731258388838</v>
      </c>
      <c r="R19" s="755" t="str">
        <f ca="1">IF(C19="","",IF(ISERROR(IRR(OFFSET(E199,0,0,1,'Paramètres et Résultats'!$G$41+1))),"Non Applicable",IRR(OFFSET(E199,0,0,1,'Paramètres et Résultats'!$G$41+1))))</f>
        <v>Non Applicable</v>
      </c>
      <c r="S19" s="753" t="str">
        <f ca="1">IF(K19=0,P19,IF(C19="","",IF(AND(J19=0,X19&gt;0),"immédiat",IF(X19&lt;=0,"Non Applicable",(J19-L19)/(N19+I19)))))</f>
        <v>immédiat</v>
      </c>
      <c r="T19" s="754">
        <f ca="1">IF(C19="","",NPV(Tx_a,OFFSET(F257,0,0,1,'Paramètres et Résultats'!$G$41))+E257)</f>
        <v>27238.731258388838</v>
      </c>
      <c r="U19" s="756" t="str">
        <f ca="1">IF(C19="","",IF(ISERROR(IRR(OFFSET(E257,0,0,1,'Paramètres et Résultats'!$G$41+1))),"Non Applicable",IRR(OFFSET(E257,0,0,1,'Paramètres et Résultats'!$G$41+1))))</f>
        <v>Non Applicable</v>
      </c>
      <c r="V19" s="47"/>
      <c r="W19" s="36"/>
      <c r="X19" s="248">
        <f t="shared" ca="1" si="2"/>
        <v>2248.8888888888887</v>
      </c>
      <c r="Y19" s="159">
        <f t="shared" si="3"/>
        <v>0</v>
      </c>
      <c r="AA19" s="242">
        <v>13</v>
      </c>
      <c r="AB19" s="244">
        <f t="shared" si="4"/>
        <v>55</v>
      </c>
      <c r="AC19" s="244">
        <f t="shared" si="5"/>
        <v>0</v>
      </c>
      <c r="AD19" s="244">
        <f t="shared" si="6"/>
        <v>55</v>
      </c>
      <c r="AE19" s="244">
        <f t="shared" si="7"/>
        <v>55</v>
      </c>
      <c r="AF19" s="238">
        <f t="shared" si="8"/>
        <v>1.4897074756229686E-2</v>
      </c>
      <c r="AG19" s="152"/>
      <c r="AH19" s="242">
        <v>13</v>
      </c>
      <c r="AI19" s="244">
        <f ca="1">F19*VLOOKUP(E19,'Paramètres et Résultats'!$AE$27:$AF$34,2,FALSE)</f>
        <v>2248.8888888888887</v>
      </c>
      <c r="AJ19" s="244" t="e">
        <f>H19*VLOOKUP(G19,'Paramètres et Résultats'!$AE$27:$AF$34,2,FALSE)</f>
        <v>#N/A</v>
      </c>
      <c r="AK19" s="244">
        <f t="shared" ca="1" si="9"/>
        <v>2248.8888888888887</v>
      </c>
      <c r="AL19" s="244">
        <f t="shared" ca="1" si="10"/>
        <v>2248.8888888888887</v>
      </c>
      <c r="AM19" s="238">
        <f t="shared" ca="1" si="11"/>
        <v>1.1255193153906424E-2</v>
      </c>
      <c r="AO19" s="242">
        <v>3</v>
      </c>
      <c r="AP19" s="244">
        <f>F19*SUMPRODUCT((E19='Conversion unités'!$F$60:$F$67)*'Conversion unités'!$G$60:$G$67)</f>
        <v>11275</v>
      </c>
      <c r="AQ19" s="244">
        <f>H19*SUMPRODUCT((G19='Conversion unités'!$F$60:$F$67)*'Conversion unités'!$G$60:$G$67)</f>
        <v>0</v>
      </c>
      <c r="AR19" s="244">
        <f t="shared" si="12"/>
        <v>11.275</v>
      </c>
      <c r="AS19" s="244">
        <f t="shared" si="13"/>
        <v>11.275</v>
      </c>
      <c r="AT19" s="238">
        <f t="shared" si="14"/>
        <v>1.8214862681744749E-2</v>
      </c>
    </row>
    <row r="20" spans="1:82" s="118" customFormat="1" ht="15.5" outlineLevel="1" x14ac:dyDescent="0.35">
      <c r="A20" s="334">
        <f t="shared" si="15"/>
        <v>0</v>
      </c>
      <c r="B20" s="500">
        <v>14</v>
      </c>
      <c r="C20" s="560"/>
      <c r="D20" s="550"/>
      <c r="E20" s="551"/>
      <c r="F20" s="552"/>
      <c r="G20" s="551"/>
      <c r="H20" s="553"/>
      <c r="I20" s="552"/>
      <c r="J20" s="554"/>
      <c r="K20" s="555"/>
      <c r="L20" s="749" t="str">
        <f>IF(C20="","",IF(ISBLANK(K20),"",K20*'Paramètres et Résultats'!$G$43))</f>
        <v/>
      </c>
      <c r="M20" s="750" t="str">
        <f t="shared" si="16"/>
        <v/>
      </c>
      <c r="N20" s="751" t="str">
        <f t="shared" si="17"/>
        <v/>
      </c>
      <c r="O20" s="752" t="str">
        <f t="shared" si="1"/>
        <v/>
      </c>
      <c r="P20" s="753" t="str">
        <f t="shared" si="18"/>
        <v/>
      </c>
      <c r="Q20" s="754" t="str">
        <f ca="1">IF(C20="","",NPV(Tx_a,OFFSET(F200,0,0,1,'Paramètres et Résultats'!$G$41))+E200)</f>
        <v/>
      </c>
      <c r="R20" s="755" t="str">
        <f ca="1">IF(C20="","",IF(ISERROR(IRR(OFFSET(E200,0,0,1,'Paramètres et Résultats'!$G$41+1))),"Non Applicable",IRR(OFFSET(E200,0,0,1,'Paramètres et Résultats'!$G$41+1))))</f>
        <v/>
      </c>
      <c r="S20" s="753" t="str">
        <f t="shared" si="19"/>
        <v/>
      </c>
      <c r="T20" s="754" t="str">
        <f ca="1">IF(C20="","",NPV(Tx_a,OFFSET(F258,0,0,1,'Paramètres et Résultats'!$G$41))+E258)</f>
        <v/>
      </c>
      <c r="U20" s="756" t="str">
        <f ca="1">IF(C20="","",IF(ISERROR(IRR(OFFSET(E258,0,0,1,'Paramètres et Résultats'!$G$41+1))),"Non Applicable",IRR(OFFSET(E258,0,0,1,'Paramètres et Résultats'!$G$41+1))))</f>
        <v/>
      </c>
      <c r="V20" s="47"/>
      <c r="W20" s="36"/>
      <c r="X20" s="248">
        <f t="shared" si="2"/>
        <v>0</v>
      </c>
      <c r="Y20" s="159" t="str">
        <f t="shared" si="3"/>
        <v/>
      </c>
      <c r="AA20" s="242">
        <v>14</v>
      </c>
      <c r="AB20" s="244">
        <f t="shared" si="4"/>
        <v>0</v>
      </c>
      <c r="AC20" s="244">
        <f t="shared" si="5"/>
        <v>0</v>
      </c>
      <c r="AD20" s="244">
        <f t="shared" si="6"/>
        <v>0</v>
      </c>
      <c r="AE20" s="244" t="e">
        <f t="shared" si="7"/>
        <v>#N/A</v>
      </c>
      <c r="AF20" s="238" t="e">
        <f t="shared" si="8"/>
        <v>#N/A</v>
      </c>
      <c r="AG20" s="152"/>
      <c r="AH20" s="242">
        <v>14</v>
      </c>
      <c r="AI20" s="244" t="e">
        <f>F20*VLOOKUP(E20,'Paramètres et Résultats'!$AE$27:$AF$34,2,FALSE)</f>
        <v>#N/A</v>
      </c>
      <c r="AJ20" s="244" t="e">
        <f>H20*VLOOKUP(G20,'Paramètres et Résultats'!$AE$27:$AF$34,2,FALSE)</f>
        <v>#N/A</v>
      </c>
      <c r="AK20" s="244">
        <f t="shared" si="9"/>
        <v>0</v>
      </c>
      <c r="AL20" s="244" t="e">
        <f t="shared" si="10"/>
        <v>#N/A</v>
      </c>
      <c r="AM20" s="238" t="e">
        <f t="shared" si="11"/>
        <v>#N/A</v>
      </c>
      <c r="AO20" s="242">
        <v>4</v>
      </c>
      <c r="AP20" s="244">
        <f>F20*SUMPRODUCT((E20='Conversion unités'!$F$60:$F$67)*'Conversion unités'!$G$60:$G$67)</f>
        <v>0</v>
      </c>
      <c r="AQ20" s="244">
        <f>H20*SUMPRODUCT((G20='Conversion unités'!$F$60:$F$67)*'Conversion unités'!$G$60:$G$67)</f>
        <v>0</v>
      </c>
      <c r="AR20" s="244">
        <f t="shared" si="12"/>
        <v>0</v>
      </c>
      <c r="AS20" s="244" t="e">
        <f t="shared" si="13"/>
        <v>#N/A</v>
      </c>
      <c r="AT20" s="238" t="e">
        <f t="shared" si="14"/>
        <v>#N/A</v>
      </c>
    </row>
    <row r="21" spans="1:82" s="118" customFormat="1" ht="15.5" outlineLevel="1" x14ac:dyDescent="0.35">
      <c r="A21" s="334">
        <f t="shared" si="15"/>
        <v>0</v>
      </c>
      <c r="B21" s="500">
        <v>15</v>
      </c>
      <c r="C21" s="560"/>
      <c r="D21" s="550"/>
      <c r="E21" s="551"/>
      <c r="F21" s="552"/>
      <c r="G21" s="551"/>
      <c r="H21" s="553"/>
      <c r="I21" s="552"/>
      <c r="J21" s="554"/>
      <c r="K21" s="555"/>
      <c r="L21" s="749"/>
      <c r="M21" s="750" t="str">
        <f t="shared" si="16"/>
        <v/>
      </c>
      <c r="N21" s="751" t="str">
        <f t="shared" si="17"/>
        <v/>
      </c>
      <c r="O21" s="752" t="str">
        <f t="shared" si="1"/>
        <v/>
      </c>
      <c r="P21" s="753" t="str">
        <f t="shared" si="18"/>
        <v/>
      </c>
      <c r="Q21" s="754" t="str">
        <f ca="1">IF(C21="","",NPV(Tx_a,OFFSET(F201,0,0,1,'Paramètres et Résultats'!$G$41))+E201)</f>
        <v/>
      </c>
      <c r="R21" s="755" t="str">
        <f ca="1">IF(C21="","",IF(ISERROR(IRR(OFFSET(E201,0,0,1,'Paramètres et Résultats'!$G$41+1))),"Non Applicable",IRR(OFFSET(E201,0,0,1,'Paramètres et Résultats'!$G$41+1))))</f>
        <v/>
      </c>
      <c r="S21" s="753" t="str">
        <f t="shared" si="19"/>
        <v/>
      </c>
      <c r="T21" s="754" t="str">
        <f ca="1">IF(C21="","",NPV(Tx_a,OFFSET(F259,0,0,1,'Paramètres et Résultats'!$G$41))+E259)</f>
        <v/>
      </c>
      <c r="U21" s="756" t="str">
        <f ca="1">IF(C21="","",IF(ISERROR(IRR(OFFSET(E259,0,0,1,'Paramètres et Résultats'!$G$41+1))),"Non Applicable",IRR(OFFSET(E259,0,0,1,'Paramètres et Résultats'!$G$41+1))))</f>
        <v/>
      </c>
      <c r="V21" s="47"/>
      <c r="W21" s="36"/>
      <c r="X21" s="248">
        <f t="shared" si="2"/>
        <v>0</v>
      </c>
      <c r="Y21" s="159" t="str">
        <f t="shared" si="3"/>
        <v/>
      </c>
      <c r="AA21" s="242">
        <v>15</v>
      </c>
      <c r="AB21" s="244">
        <f t="shared" si="4"/>
        <v>0</v>
      </c>
      <c r="AC21" s="244">
        <f t="shared" si="5"/>
        <v>0</v>
      </c>
      <c r="AD21" s="244">
        <f t="shared" si="6"/>
        <v>0</v>
      </c>
      <c r="AE21" s="244" t="e">
        <f t="shared" si="7"/>
        <v>#N/A</v>
      </c>
      <c r="AF21" s="238" t="e">
        <f t="shared" si="8"/>
        <v>#N/A</v>
      </c>
      <c r="AG21" s="152"/>
      <c r="AH21" s="242">
        <v>15</v>
      </c>
      <c r="AI21" s="244" t="e">
        <f>F21*VLOOKUP(E21,'Paramètres et Résultats'!$AE$27:$AF$34,2,FALSE)</f>
        <v>#N/A</v>
      </c>
      <c r="AJ21" s="244" t="e">
        <f>H21*VLOOKUP(G21,'Paramètres et Résultats'!$AE$27:$AF$34,2,FALSE)</f>
        <v>#N/A</v>
      </c>
      <c r="AK21" s="244">
        <f t="shared" si="9"/>
        <v>0</v>
      </c>
      <c r="AL21" s="244" t="e">
        <f t="shared" si="10"/>
        <v>#N/A</v>
      </c>
      <c r="AM21" s="238" t="e">
        <f t="shared" si="11"/>
        <v>#N/A</v>
      </c>
      <c r="AO21" s="242">
        <v>5</v>
      </c>
      <c r="AP21" s="244">
        <f>F21*SUMPRODUCT((E21='Conversion unités'!$F$60:$F$67)*'Conversion unités'!$G$60:$G$67)</f>
        <v>0</v>
      </c>
      <c r="AQ21" s="244">
        <f>H21*SUMPRODUCT((G21='Conversion unités'!$F$60:$F$67)*'Conversion unités'!$G$60:$G$67)</f>
        <v>0</v>
      </c>
      <c r="AR21" s="244">
        <f t="shared" si="12"/>
        <v>0</v>
      </c>
      <c r="AS21" s="244" t="e">
        <f t="shared" si="13"/>
        <v>#N/A</v>
      </c>
      <c r="AT21" s="238" t="e">
        <f t="shared" si="14"/>
        <v>#N/A</v>
      </c>
    </row>
    <row r="22" spans="1:82" s="118" customFormat="1" ht="15.5" outlineLevel="1" x14ac:dyDescent="0.35">
      <c r="A22" s="334">
        <f t="shared" si="15"/>
        <v>0</v>
      </c>
      <c r="B22" s="500">
        <v>16</v>
      </c>
      <c r="C22" s="560"/>
      <c r="D22" s="550"/>
      <c r="E22" s="551"/>
      <c r="F22" s="552"/>
      <c r="G22" s="551"/>
      <c r="H22" s="553"/>
      <c r="I22" s="552"/>
      <c r="J22" s="554"/>
      <c r="K22" s="555"/>
      <c r="L22" s="749"/>
      <c r="M22" s="750" t="str">
        <f t="shared" si="16"/>
        <v/>
      </c>
      <c r="N22" s="751" t="str">
        <f t="shared" si="17"/>
        <v/>
      </c>
      <c r="O22" s="752" t="str">
        <f t="shared" si="1"/>
        <v/>
      </c>
      <c r="P22" s="753" t="str">
        <f t="shared" si="18"/>
        <v/>
      </c>
      <c r="Q22" s="754" t="str">
        <f ca="1">IF(C22="","",NPV(Tx_a,OFFSET(F202,0,0,1,'Paramètres et Résultats'!$G$41))+E202)</f>
        <v/>
      </c>
      <c r="R22" s="755" t="str">
        <f ca="1">IF(C22="","",IF(ISERROR(IRR(OFFSET(E202,0,0,1,'Paramètres et Résultats'!$G$41+1))),"Non Applicable",IRR(OFFSET(E202,0,0,1,'Paramètres et Résultats'!$G$41+1))))</f>
        <v/>
      </c>
      <c r="S22" s="753" t="str">
        <f t="shared" si="19"/>
        <v/>
      </c>
      <c r="T22" s="754" t="str">
        <f ca="1">IF(C22="","",NPV(Tx_a,OFFSET(F260,0,0,1,'Paramètres et Résultats'!$G$41))+E260)</f>
        <v/>
      </c>
      <c r="U22" s="756" t="str">
        <f ca="1">IF(C22="","",IF(ISERROR(IRR(OFFSET(E260,0,0,1,'Paramètres et Résultats'!$G$41+1))),"Non Applicable",IRR(OFFSET(E260,0,0,1,'Paramètres et Résultats'!$G$41+1))))</f>
        <v/>
      </c>
      <c r="V22" s="47"/>
      <c r="W22" s="36"/>
      <c r="X22" s="248">
        <f t="shared" si="2"/>
        <v>0</v>
      </c>
      <c r="Y22" s="159" t="str">
        <f t="shared" si="3"/>
        <v/>
      </c>
      <c r="AA22" s="242">
        <v>16</v>
      </c>
      <c r="AB22" s="244">
        <f t="shared" si="4"/>
        <v>0</v>
      </c>
      <c r="AC22" s="244">
        <f t="shared" si="5"/>
        <v>0</v>
      </c>
      <c r="AD22" s="244">
        <f t="shared" si="6"/>
        <v>0</v>
      </c>
      <c r="AE22" s="244" t="e">
        <f t="shared" si="7"/>
        <v>#N/A</v>
      </c>
      <c r="AF22" s="238" t="e">
        <f t="shared" si="8"/>
        <v>#N/A</v>
      </c>
      <c r="AG22" s="152"/>
      <c r="AH22" s="242">
        <v>16</v>
      </c>
      <c r="AI22" s="244" t="e">
        <f>F22*VLOOKUP(E22,'Paramètres et Résultats'!$AE$27:$AF$34,2,FALSE)</f>
        <v>#N/A</v>
      </c>
      <c r="AJ22" s="244" t="e">
        <f>H22*VLOOKUP(G22,'Paramètres et Résultats'!$AE$27:$AF$34,2,FALSE)</f>
        <v>#N/A</v>
      </c>
      <c r="AK22" s="244">
        <f t="shared" si="9"/>
        <v>0</v>
      </c>
      <c r="AL22" s="244" t="e">
        <f t="shared" si="10"/>
        <v>#N/A</v>
      </c>
      <c r="AM22" s="238" t="e">
        <f t="shared" si="11"/>
        <v>#N/A</v>
      </c>
      <c r="AO22" s="242">
        <v>6</v>
      </c>
      <c r="AP22" s="244">
        <f>F22*SUMPRODUCT((E22='Conversion unités'!$F$60:$F$67)*'Conversion unités'!$G$60:$G$67)</f>
        <v>0</v>
      </c>
      <c r="AQ22" s="244">
        <f>H22*SUMPRODUCT((G22='Conversion unités'!$F$60:$F$67)*'Conversion unités'!$G$60:$G$67)</f>
        <v>0</v>
      </c>
      <c r="AR22" s="244">
        <f t="shared" si="12"/>
        <v>0</v>
      </c>
      <c r="AS22" s="244" t="e">
        <f t="shared" si="13"/>
        <v>#N/A</v>
      </c>
      <c r="AT22" s="238" t="e">
        <f t="shared" si="14"/>
        <v>#N/A</v>
      </c>
    </row>
    <row r="23" spans="1:82" s="118" customFormat="1" ht="15.5" outlineLevel="1" x14ac:dyDescent="0.35">
      <c r="A23" s="334">
        <f t="shared" si="15"/>
        <v>0</v>
      </c>
      <c r="B23" s="500">
        <v>17</v>
      </c>
      <c r="C23" s="560"/>
      <c r="D23" s="550"/>
      <c r="E23" s="551"/>
      <c r="F23" s="552"/>
      <c r="G23" s="551"/>
      <c r="H23" s="553"/>
      <c r="I23" s="552"/>
      <c r="J23" s="554"/>
      <c r="K23" s="555"/>
      <c r="L23" s="749"/>
      <c r="M23" s="750" t="str">
        <f t="shared" si="16"/>
        <v/>
      </c>
      <c r="N23" s="751" t="str">
        <f>IF(C23="","",AK23)</f>
        <v/>
      </c>
      <c r="O23" s="752" t="str">
        <f>IF(C23="","",IF(AR23=0,,AR23))</f>
        <v/>
      </c>
      <c r="P23" s="753" t="str">
        <f>IF(C23="","",IF(AND(J23=0,X23&gt;0),"immédiat",IF(X23&lt;=0,"Non Applicable",J23/(N23+I23))))</f>
        <v/>
      </c>
      <c r="Q23" s="754" t="str">
        <f ca="1">IF(C23="","",NPV(Tx_a,OFFSET(F203,0,0,1,'Paramètres et Résultats'!$G$41))+E203)</f>
        <v/>
      </c>
      <c r="R23" s="755" t="str">
        <f ca="1">IF(C23="","",IF(ISERROR(IRR(OFFSET(E203,0,0,1,'Paramètres et Résultats'!$G$41+1))),"Non Applicable",IRR(OFFSET(E203,0,0,1,'Paramètres et Résultats'!$G$41+1))))</f>
        <v/>
      </c>
      <c r="S23" s="753" t="str">
        <f>IF(K23=0,P23,IF(C23="","",IF(AND(J23=0,X23&gt;0),"immédiat",IF(X23&lt;=0,"Non Applicable",(J23-L23)/(N23+I23)))))</f>
        <v/>
      </c>
      <c r="T23" s="754" t="str">
        <f ca="1">IF(C23="","",NPV(Tx_a,OFFSET(F261,0,0,1,'Paramètres et Résultats'!$G$41))+E261)</f>
        <v/>
      </c>
      <c r="U23" s="756" t="str">
        <f ca="1">IF(C23="","",IF(ISERROR(IRR(OFFSET(E261,0,0,1,'Paramètres et Résultats'!$G$41+1))),"Non Applicable",IRR(OFFSET(E261,0,0,1,'Paramètres et Résultats'!$G$41+1))))</f>
        <v/>
      </c>
      <c r="V23" s="47"/>
      <c r="W23" s="36"/>
      <c r="X23" s="248">
        <f t="shared" si="2"/>
        <v>0</v>
      </c>
      <c r="Y23" s="159" t="str">
        <f t="shared" si="3"/>
        <v/>
      </c>
      <c r="AA23" s="242">
        <v>17</v>
      </c>
      <c r="AB23" s="244">
        <f t="shared" si="4"/>
        <v>0</v>
      </c>
      <c r="AC23" s="244">
        <f t="shared" si="5"/>
        <v>0</v>
      </c>
      <c r="AD23" s="244">
        <f t="shared" si="6"/>
        <v>0</v>
      </c>
      <c r="AE23" s="244" t="e">
        <f t="shared" si="7"/>
        <v>#N/A</v>
      </c>
      <c r="AF23" s="238" t="e">
        <f t="shared" si="8"/>
        <v>#N/A</v>
      </c>
      <c r="AG23" s="152"/>
      <c r="AH23" s="242">
        <v>17</v>
      </c>
      <c r="AI23" s="244" t="e">
        <f>F23*VLOOKUP(E23,'Paramètres et Résultats'!$AE$27:$AF$34,2,FALSE)</f>
        <v>#N/A</v>
      </c>
      <c r="AJ23" s="244" t="e">
        <f>H23*VLOOKUP(G23,'Paramètres et Résultats'!$AE$27:$AF$34,2,FALSE)</f>
        <v>#N/A</v>
      </c>
      <c r="AK23" s="244">
        <f t="shared" si="9"/>
        <v>0</v>
      </c>
      <c r="AL23" s="244" t="e">
        <f t="shared" si="10"/>
        <v>#N/A</v>
      </c>
      <c r="AM23" s="238" t="e">
        <f t="shared" si="11"/>
        <v>#N/A</v>
      </c>
      <c r="AO23" s="242">
        <v>7</v>
      </c>
      <c r="AP23" s="244">
        <f>F23*SUMPRODUCT((E23='Conversion unités'!$F$60:$F$67)*'Conversion unités'!$G$60:$G$67)</f>
        <v>0</v>
      </c>
      <c r="AQ23" s="244">
        <f>H23*SUMPRODUCT((G23='Conversion unités'!$F$60:$F$67)*'Conversion unités'!$G$60:$G$67)</f>
        <v>0</v>
      </c>
      <c r="AR23" s="244">
        <f t="shared" si="12"/>
        <v>0</v>
      </c>
      <c r="AS23" s="244" t="e">
        <f t="shared" si="13"/>
        <v>#N/A</v>
      </c>
      <c r="AT23" s="238" t="e">
        <f t="shared" si="14"/>
        <v>#N/A</v>
      </c>
    </row>
    <row r="24" spans="1:82" s="152" customFormat="1" ht="15.5" outlineLevel="1" x14ac:dyDescent="0.35">
      <c r="A24" s="334">
        <f t="shared" si="15"/>
        <v>0</v>
      </c>
      <c r="B24" s="500">
        <v>18</v>
      </c>
      <c r="C24" s="549"/>
      <c r="D24" s="550"/>
      <c r="E24" s="551"/>
      <c r="F24" s="552"/>
      <c r="G24" s="551"/>
      <c r="H24" s="553"/>
      <c r="I24" s="552"/>
      <c r="J24" s="554"/>
      <c r="K24" s="555"/>
      <c r="L24" s="749" t="str">
        <f>IF(C24="","",IF(ISBLANK(K24),"",K24*'Paramètres et Résultats'!$G$43))</f>
        <v/>
      </c>
      <c r="M24" s="750" t="str">
        <f t="shared" si="16"/>
        <v/>
      </c>
      <c r="N24" s="751" t="str">
        <f t="shared" si="17"/>
        <v/>
      </c>
      <c r="O24" s="752" t="str">
        <f t="shared" si="1"/>
        <v/>
      </c>
      <c r="P24" s="753" t="str">
        <f t="shared" si="18"/>
        <v/>
      </c>
      <c r="Q24" s="754" t="str">
        <f ca="1">IF(C24="","",NPV(Tx_a,OFFSET(F204,0,0,1,'Paramètres et Résultats'!$G$41))+E204)</f>
        <v/>
      </c>
      <c r="R24" s="755" t="str">
        <f ca="1">IF(C24="","",IF(ISERROR(IRR(OFFSET(E204,0,0,1,'Paramètres et Résultats'!$G$41+1))),"Non Applicable",IRR(OFFSET(E204,0,0,1,'Paramètres et Résultats'!$G$41+1))))</f>
        <v/>
      </c>
      <c r="S24" s="753" t="str">
        <f t="shared" si="19"/>
        <v/>
      </c>
      <c r="T24" s="754" t="str">
        <f ca="1">IF(C24="","",NPV(Tx_a,OFFSET(F262,0,0,1,'Paramètres et Résultats'!$G$41))+E262)</f>
        <v/>
      </c>
      <c r="U24" s="756" t="str">
        <f ca="1">IF(C24="","",IF(ISERROR(IRR(OFFSET(E262,0,0,1,'Paramètres et Résultats'!$G$41+1))),"Non Applicable",IRR(OFFSET(E262,0,0,1,'Paramètres et Résultats'!$G$41+1))))</f>
        <v/>
      </c>
      <c r="V24" s="47"/>
      <c r="W24" s="146"/>
      <c r="X24" s="248">
        <f t="shared" si="2"/>
        <v>0</v>
      </c>
      <c r="Y24" s="159" t="str">
        <f t="shared" si="3"/>
        <v/>
      </c>
      <c r="Z24" s="118"/>
      <c r="AA24" s="242">
        <v>18</v>
      </c>
      <c r="AB24" s="244">
        <f t="shared" si="4"/>
        <v>0</v>
      </c>
      <c r="AC24" s="244">
        <f t="shared" si="5"/>
        <v>0</v>
      </c>
      <c r="AD24" s="244">
        <f t="shared" si="6"/>
        <v>0</v>
      </c>
      <c r="AE24" s="244" t="e">
        <f t="shared" si="7"/>
        <v>#N/A</v>
      </c>
      <c r="AF24" s="238" t="e">
        <f t="shared" si="8"/>
        <v>#N/A</v>
      </c>
      <c r="AG24" s="202"/>
      <c r="AH24" s="242">
        <v>18</v>
      </c>
      <c r="AI24" s="244" t="e">
        <f>F24*VLOOKUP(E24,'Paramètres et Résultats'!$AE$27:$AF$34,2,FALSE)</f>
        <v>#N/A</v>
      </c>
      <c r="AJ24" s="244" t="e">
        <f>H24*VLOOKUP(G24,'Paramètres et Résultats'!$AE$27:$AF$34,2,FALSE)</f>
        <v>#N/A</v>
      </c>
      <c r="AK24" s="244">
        <f t="shared" si="9"/>
        <v>0</v>
      </c>
      <c r="AL24" s="244" t="e">
        <f t="shared" si="10"/>
        <v>#N/A</v>
      </c>
      <c r="AM24" s="238" t="e">
        <f t="shared" si="11"/>
        <v>#N/A</v>
      </c>
      <c r="AO24" s="242">
        <v>8</v>
      </c>
      <c r="AP24" s="244">
        <f>F24*SUMPRODUCT((E24='Conversion unités'!$F$60:$F$67)*'Conversion unités'!$G$60:$G$67)</f>
        <v>0</v>
      </c>
      <c r="AQ24" s="244">
        <f>H24*SUMPRODUCT((G24='Conversion unités'!$F$60:$F$67)*'Conversion unités'!$G$60:$G$67)</f>
        <v>0</v>
      </c>
      <c r="AR24" s="244">
        <f t="shared" si="12"/>
        <v>0</v>
      </c>
      <c r="AS24" s="244" t="e">
        <f t="shared" si="13"/>
        <v>#N/A</v>
      </c>
      <c r="AT24" s="238" t="e">
        <f t="shared" si="14"/>
        <v>#N/A</v>
      </c>
    </row>
    <row r="25" spans="1:82" s="152" customFormat="1" ht="15.5" outlineLevel="1" x14ac:dyDescent="0.35">
      <c r="A25" s="334">
        <f t="shared" si="15"/>
        <v>0</v>
      </c>
      <c r="B25" s="500">
        <v>19</v>
      </c>
      <c r="C25" s="549"/>
      <c r="D25" s="550"/>
      <c r="E25" s="551"/>
      <c r="F25" s="552"/>
      <c r="G25" s="551"/>
      <c r="H25" s="553"/>
      <c r="I25" s="552"/>
      <c r="J25" s="554"/>
      <c r="K25" s="555"/>
      <c r="L25" s="749" t="str">
        <f>IF(C25="","",IF(ISBLANK(K25),"",K25*'Paramètres et Résultats'!$G$43))</f>
        <v/>
      </c>
      <c r="M25" s="750" t="str">
        <f t="shared" si="16"/>
        <v/>
      </c>
      <c r="N25" s="751" t="str">
        <f t="shared" si="17"/>
        <v/>
      </c>
      <c r="O25" s="752" t="str">
        <f t="shared" si="1"/>
        <v/>
      </c>
      <c r="P25" s="753" t="str">
        <f t="shared" si="18"/>
        <v/>
      </c>
      <c r="Q25" s="754" t="str">
        <f ca="1">IF(C25="","",NPV(Tx_a,OFFSET(F205,0,0,1,'Paramètres et Résultats'!$G$41))+E205)</f>
        <v/>
      </c>
      <c r="R25" s="755" t="str">
        <f ca="1">IF(C25="","",IF(ISERROR(IRR(OFFSET(E205,0,0,1,'Paramètres et Résultats'!$G$41+1))),"Non Applicable",IRR(OFFSET(E205,0,0,1,'Paramètres et Résultats'!$G$41+1))))</f>
        <v/>
      </c>
      <c r="S25" s="753" t="str">
        <f t="shared" si="19"/>
        <v/>
      </c>
      <c r="T25" s="754" t="str">
        <f ca="1">IF(C25="","",NPV(Tx_a,OFFSET(F263,0,0,1,'Paramètres et Résultats'!$G$41))+E263)</f>
        <v/>
      </c>
      <c r="U25" s="756" t="str">
        <f ca="1">IF(C25="","",IF(ISERROR(IRR(OFFSET(E263,0,0,1,'Paramètres et Résultats'!$G$41+1))),"Non Applicable",IRR(OFFSET(E263,0,0,1,'Paramètres et Résultats'!$G$41+1))))</f>
        <v/>
      </c>
      <c r="V25" s="47"/>
      <c r="W25" s="36"/>
      <c r="X25" s="248">
        <f t="shared" si="2"/>
        <v>0</v>
      </c>
      <c r="Y25" s="159" t="str">
        <f t="shared" si="3"/>
        <v/>
      </c>
      <c r="Z25" s="118"/>
      <c r="AA25" s="242">
        <v>19</v>
      </c>
      <c r="AB25" s="244">
        <f t="shared" si="4"/>
        <v>0</v>
      </c>
      <c r="AC25" s="244">
        <f t="shared" si="5"/>
        <v>0</v>
      </c>
      <c r="AD25" s="244">
        <f t="shared" si="6"/>
        <v>0</v>
      </c>
      <c r="AE25" s="244" t="e">
        <f t="shared" si="7"/>
        <v>#N/A</v>
      </c>
      <c r="AF25" s="238" t="e">
        <f t="shared" si="8"/>
        <v>#N/A</v>
      </c>
      <c r="AG25" s="202"/>
      <c r="AH25" s="242">
        <v>19</v>
      </c>
      <c r="AI25" s="244" t="e">
        <f>F25*VLOOKUP(E25,'Paramètres et Résultats'!$AE$27:$AF$34,2,FALSE)</f>
        <v>#N/A</v>
      </c>
      <c r="AJ25" s="244" t="e">
        <f>H25*VLOOKUP(G25,'Paramètres et Résultats'!$AE$27:$AF$34,2,FALSE)</f>
        <v>#N/A</v>
      </c>
      <c r="AK25" s="244">
        <f t="shared" si="9"/>
        <v>0</v>
      </c>
      <c r="AL25" s="244" t="e">
        <f t="shared" si="10"/>
        <v>#N/A</v>
      </c>
      <c r="AM25" s="238" t="e">
        <f t="shared" si="11"/>
        <v>#N/A</v>
      </c>
      <c r="AO25" s="242">
        <v>9</v>
      </c>
      <c r="AP25" s="244">
        <f>F25*SUMPRODUCT((E25='Conversion unités'!$F$60:$F$67)*'Conversion unités'!$G$60:$G$67)</f>
        <v>0</v>
      </c>
      <c r="AQ25" s="244">
        <f>H25*SUMPRODUCT((G25='Conversion unités'!$F$60:$F$67)*'Conversion unités'!$G$60:$G$67)</f>
        <v>0</v>
      </c>
      <c r="AR25" s="244">
        <f t="shared" si="12"/>
        <v>0</v>
      </c>
      <c r="AS25" s="244" t="e">
        <f t="shared" si="13"/>
        <v>#N/A</v>
      </c>
      <c r="AT25" s="238" t="e">
        <f t="shared" si="14"/>
        <v>#N/A</v>
      </c>
    </row>
    <row r="26" spans="1:82" s="194" customFormat="1" outlineLevel="1" thickBot="1" x14ac:dyDescent="0.35">
      <c r="A26" s="334">
        <f t="shared" si="15"/>
        <v>0</v>
      </c>
      <c r="B26" s="501">
        <v>20</v>
      </c>
      <c r="C26" s="561"/>
      <c r="D26" s="562"/>
      <c r="E26" s="563"/>
      <c r="F26" s="564"/>
      <c r="G26" s="563"/>
      <c r="H26" s="565"/>
      <c r="I26" s="564"/>
      <c r="J26" s="566"/>
      <c r="K26" s="567"/>
      <c r="L26" s="757" t="str">
        <f>IF(C26="","",IF(ISBLANK(K26),"",K26*'Paramètres et Résultats'!$G$43))</f>
        <v/>
      </c>
      <c r="M26" s="758" t="str">
        <f t="shared" si="16"/>
        <v/>
      </c>
      <c r="N26" s="759" t="str">
        <f t="shared" si="17"/>
        <v/>
      </c>
      <c r="O26" s="760" t="str">
        <f t="shared" si="1"/>
        <v/>
      </c>
      <c r="P26" s="761" t="str">
        <f t="shared" si="18"/>
        <v/>
      </c>
      <c r="Q26" s="762" t="str">
        <f ca="1">IF(C26="","",NPV(Tx_a,OFFSET(F206,0,0,1,'Paramètres et Résultats'!$G$41))+E206)</f>
        <v/>
      </c>
      <c r="R26" s="763" t="str">
        <f ca="1">IF(C26="","",IF(ISERROR(IRR(OFFSET(E206,0,0,1,'Paramètres et Résultats'!$G$41+1))),"Non Applicable",IRR(OFFSET(E206,0,0,1,'Paramètres et Résultats'!$G$41+1))))</f>
        <v/>
      </c>
      <c r="S26" s="761" t="str">
        <f t="shared" si="19"/>
        <v/>
      </c>
      <c r="T26" s="762" t="str">
        <f ca="1">IF(C26="","",NPV(Tx_a,OFFSET(F264,0,0,1,'Paramètres et Résultats'!$G$41))+E264)</f>
        <v/>
      </c>
      <c r="U26" s="764" t="str">
        <f ca="1">IF(C26="","",IF(ISERROR(IRR(OFFSET(E264,0,0,1,'Paramètres et Résultats'!$G$41+1))),"Non Applicable",IRR(OFFSET(E264,0,0,1,'Paramètres et Résultats'!$G$41+1))))</f>
        <v/>
      </c>
      <c r="V26" s="154"/>
      <c r="W26" s="36"/>
      <c r="X26" s="248">
        <f t="shared" si="2"/>
        <v>0</v>
      </c>
      <c r="Y26" s="159" t="str">
        <f t="shared" si="3"/>
        <v/>
      </c>
      <c r="Z26" s="118"/>
      <c r="AA26" s="242">
        <v>20</v>
      </c>
      <c r="AB26" s="244">
        <f t="shared" si="4"/>
        <v>0</v>
      </c>
      <c r="AC26" s="244">
        <f t="shared" si="5"/>
        <v>0</v>
      </c>
      <c r="AD26" s="244">
        <f t="shared" si="6"/>
        <v>0</v>
      </c>
      <c r="AE26" s="244" t="e">
        <f t="shared" si="7"/>
        <v>#N/A</v>
      </c>
      <c r="AF26" s="238" t="e">
        <f t="shared" si="8"/>
        <v>#N/A</v>
      </c>
      <c r="AG26" s="202"/>
      <c r="AH26" s="242">
        <v>20</v>
      </c>
      <c r="AI26" s="244" t="e">
        <f>F26*VLOOKUP(E26,'Paramètres et Résultats'!$AE$27:$AF$34,2,FALSE)</f>
        <v>#N/A</v>
      </c>
      <c r="AJ26" s="244" t="e">
        <f>H26*VLOOKUP(G26,'Paramètres et Résultats'!$AE$27:$AF$34,2,FALSE)</f>
        <v>#N/A</v>
      </c>
      <c r="AK26" s="244">
        <f t="shared" si="9"/>
        <v>0</v>
      </c>
      <c r="AL26" s="244" t="e">
        <f t="shared" si="10"/>
        <v>#N/A</v>
      </c>
      <c r="AM26" s="238" t="e">
        <f t="shared" si="11"/>
        <v>#N/A</v>
      </c>
      <c r="AO26" s="242">
        <v>10</v>
      </c>
      <c r="AP26" s="244">
        <f>F26*SUMPRODUCT((E26='Conversion unités'!$F$60:$F$67)*'Conversion unités'!$G$60:$G$67)</f>
        <v>0</v>
      </c>
      <c r="AQ26" s="244">
        <f>H26*SUMPRODUCT((G26='Conversion unités'!$F$60:$F$67)*'Conversion unités'!$G$60:$G$67)</f>
        <v>0</v>
      </c>
      <c r="AR26" s="244">
        <f t="shared" si="12"/>
        <v>0</v>
      </c>
      <c r="AS26" s="244" t="e">
        <f t="shared" si="13"/>
        <v>#N/A</v>
      </c>
      <c r="AT26" s="238" t="e">
        <f t="shared" si="14"/>
        <v>#N/A</v>
      </c>
    </row>
    <row r="27" spans="1:82" s="197" customFormat="1" thickBot="1" x14ac:dyDescent="0.35">
      <c r="A27" s="153"/>
      <c r="B27" s="435" t="s">
        <v>308</v>
      </c>
      <c r="C27" s="434"/>
      <c r="D27" s="169"/>
      <c r="E27" s="170"/>
      <c r="F27" s="171"/>
      <c r="G27" s="170"/>
      <c r="H27" s="172"/>
      <c r="I27" s="171"/>
      <c r="J27" s="176"/>
      <c r="K27" s="177"/>
      <c r="L27" s="178"/>
      <c r="M27" s="173"/>
      <c r="N27" s="174"/>
      <c r="O27" s="175"/>
      <c r="P27" s="175"/>
      <c r="Q27" s="179"/>
      <c r="R27" s="179"/>
      <c r="S27" s="179"/>
      <c r="T27" s="179"/>
      <c r="U27" s="179"/>
      <c r="V27" s="154"/>
      <c r="W27" s="146"/>
      <c r="X27" s="248"/>
      <c r="Y27" s="58" t="str">
        <f>IF(SUMIF(M46:M53,"=1",Y7:Y16)=0,"",SUMIF(M46:M53,"=1",Y7:Y16))</f>
        <v/>
      </c>
      <c r="Z27" s="118"/>
      <c r="AA27" s="242"/>
      <c r="AB27" s="244"/>
      <c r="AC27" s="244"/>
      <c r="AD27" s="244"/>
      <c r="AE27" s="244"/>
      <c r="AF27" s="238"/>
      <c r="AG27" s="202"/>
      <c r="AH27" s="242"/>
      <c r="AI27" s="244"/>
      <c r="AJ27" s="244"/>
      <c r="AK27" s="244"/>
      <c r="AL27" s="244"/>
      <c r="AM27" s="238"/>
      <c r="AO27" s="242"/>
      <c r="AP27" s="244"/>
      <c r="AQ27" s="244"/>
      <c r="AR27" s="244"/>
      <c r="AS27" s="244"/>
      <c r="AT27" s="238"/>
    </row>
    <row r="28" spans="1:82" s="197" customFormat="1" ht="6.75" customHeight="1" x14ac:dyDescent="0.3">
      <c r="A28" s="506"/>
      <c r="B28" s="435"/>
      <c r="C28" s="434"/>
      <c r="D28" s="169"/>
      <c r="E28" s="170"/>
      <c r="F28" s="171"/>
      <c r="G28" s="170"/>
      <c r="H28" s="172"/>
      <c r="I28" s="171"/>
      <c r="J28" s="176"/>
      <c r="K28" s="177"/>
      <c r="L28" s="178"/>
      <c r="M28" s="173"/>
      <c r="N28" s="174"/>
      <c r="O28" s="175"/>
      <c r="P28" s="175"/>
      <c r="Q28" s="179"/>
      <c r="R28" s="179"/>
      <c r="S28" s="179"/>
      <c r="T28" s="179"/>
      <c r="U28" s="179"/>
      <c r="V28" s="506"/>
      <c r="W28" s="146"/>
      <c r="X28" s="248"/>
      <c r="Y28" s="507"/>
      <c r="Z28" s="118"/>
      <c r="AA28" s="147"/>
      <c r="AB28" s="244"/>
      <c r="AC28" s="244"/>
      <c r="AD28" s="244"/>
      <c r="AE28" s="244"/>
      <c r="AF28" s="238"/>
      <c r="AG28" s="202"/>
      <c r="AH28" s="147"/>
      <c r="AI28" s="244"/>
      <c r="AJ28" s="244"/>
      <c r="AK28" s="244"/>
      <c r="AL28" s="244"/>
      <c r="AM28" s="238"/>
      <c r="AO28" s="147"/>
      <c r="AP28" s="244"/>
      <c r="AQ28" s="244"/>
      <c r="AR28" s="244"/>
      <c r="AS28" s="244"/>
      <c r="AT28" s="238"/>
    </row>
    <row r="29" spans="1:82" s="197" customFormat="1" ht="63.75" customHeight="1" x14ac:dyDescent="0.3">
      <c r="A29" s="506"/>
      <c r="B29" s="435"/>
      <c r="C29" s="434"/>
      <c r="D29" s="839" t="s">
        <v>379</v>
      </c>
      <c r="E29" s="839"/>
      <c r="F29" s="839"/>
      <c r="G29" s="839"/>
      <c r="H29" s="839"/>
      <c r="I29" s="839"/>
      <c r="J29" s="176"/>
      <c r="K29" s="177"/>
      <c r="L29" s="178"/>
      <c r="M29" s="173"/>
      <c r="N29" s="174"/>
      <c r="O29" s="175"/>
      <c r="P29" s="175"/>
      <c r="Q29" s="179"/>
      <c r="R29" s="179"/>
      <c r="S29" s="179"/>
      <c r="T29" s="179"/>
      <c r="U29" s="179"/>
      <c r="V29" s="506"/>
      <c r="W29" s="146"/>
      <c r="X29" s="248"/>
      <c r="Y29" s="507"/>
      <c r="Z29" s="118"/>
      <c r="AA29" s="147"/>
      <c r="AB29" s="244"/>
      <c r="AC29" s="244"/>
      <c r="AD29" s="244"/>
      <c r="AE29" s="244"/>
      <c r="AF29" s="238"/>
      <c r="AG29" s="202"/>
      <c r="AH29" s="147"/>
      <c r="AI29" s="244"/>
      <c r="AJ29" s="244"/>
      <c r="AK29" s="244"/>
      <c r="AL29" s="244"/>
      <c r="AM29" s="238"/>
      <c r="AO29" s="147"/>
      <c r="AP29" s="244"/>
      <c r="AQ29" s="244"/>
      <c r="AR29" s="244"/>
      <c r="AS29" s="244"/>
      <c r="AT29" s="238"/>
    </row>
    <row r="30" spans="1:82" s="152" customFormat="1" ht="8.25" customHeight="1" x14ac:dyDescent="0.3">
      <c r="A30" s="155"/>
      <c r="B30" s="155"/>
      <c r="C30" s="155"/>
      <c r="D30" s="508"/>
      <c r="E30" s="155"/>
      <c r="F30" s="155"/>
      <c r="G30" s="155"/>
      <c r="H30" s="155"/>
      <c r="I30" s="155"/>
      <c r="J30" s="155"/>
      <c r="K30" s="155"/>
      <c r="L30" s="155"/>
      <c r="M30" s="155"/>
      <c r="N30" s="155"/>
      <c r="O30" s="155"/>
      <c r="P30" s="155"/>
      <c r="Q30" s="155"/>
      <c r="R30" s="155"/>
      <c r="S30" s="155"/>
      <c r="T30" s="155"/>
      <c r="U30" s="155"/>
      <c r="V30" s="50"/>
      <c r="W30" s="146"/>
      <c r="AD30" s="204"/>
    </row>
    <row r="31" spans="1:82" s="147" customFormat="1" ht="13" x14ac:dyDescent="0.3">
      <c r="A31" s="146"/>
      <c r="B31" s="146"/>
      <c r="C31" s="146"/>
      <c r="D31" s="459"/>
      <c r="E31" s="146"/>
      <c r="F31" s="146"/>
      <c r="G31" s="146"/>
      <c r="H31" s="146"/>
      <c r="I31" s="146"/>
      <c r="J31" s="146"/>
      <c r="K31" s="146"/>
      <c r="L31" s="146"/>
      <c r="M31" s="146"/>
      <c r="N31" s="146"/>
      <c r="O31" s="146"/>
      <c r="P31" s="146"/>
      <c r="Q31" s="146"/>
      <c r="R31" s="146"/>
      <c r="S31" s="146"/>
      <c r="T31" s="146"/>
      <c r="U31" s="146"/>
      <c r="V31" s="146"/>
      <c r="W31" s="146"/>
      <c r="X31" s="152"/>
      <c r="Y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row>
    <row r="32" spans="1:82" s="147" customFormat="1" ht="13" x14ac:dyDescent="0.3">
      <c r="A32" s="146"/>
      <c r="B32" s="146"/>
      <c r="C32" s="110" t="s">
        <v>219</v>
      </c>
      <c r="D32" s="146"/>
      <c r="E32" s="146"/>
      <c r="F32" s="146"/>
      <c r="G32" s="146"/>
      <c r="H32" s="146"/>
      <c r="I32" s="146"/>
      <c r="J32" s="146"/>
      <c r="K32" s="146"/>
      <c r="L32" s="146"/>
      <c r="M32" s="146"/>
      <c r="N32" s="146"/>
      <c r="O32" s="146"/>
      <c r="P32" s="146"/>
      <c r="Q32" s="146"/>
      <c r="R32" s="146"/>
      <c r="S32" s="146"/>
      <c r="T32" s="146"/>
      <c r="U32" s="146"/>
      <c r="V32" s="146"/>
      <c r="W32" s="146"/>
      <c r="X32" s="152"/>
      <c r="Y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row>
    <row r="33" spans="1:82" s="147" customFormat="1" ht="12.5" x14ac:dyDescent="0.25">
      <c r="A33" s="146"/>
      <c r="B33" s="146"/>
      <c r="C33" s="151"/>
      <c r="D33" s="503" t="s">
        <v>318</v>
      </c>
      <c r="E33" s="146"/>
      <c r="F33" s="146"/>
      <c r="G33" s="146"/>
      <c r="H33" s="146"/>
      <c r="I33" s="146"/>
      <c r="J33" s="146"/>
      <c r="K33" s="146"/>
      <c r="L33" s="146"/>
      <c r="M33" s="146"/>
      <c r="N33" s="146"/>
      <c r="O33" s="146"/>
      <c r="P33" s="146"/>
      <c r="Q33" s="146"/>
      <c r="R33" s="146"/>
      <c r="S33" s="146"/>
      <c r="T33" s="146"/>
      <c r="U33" s="146"/>
      <c r="V33" s="146"/>
      <c r="W33" s="146"/>
      <c r="X33" s="152"/>
      <c r="Y33" s="152"/>
      <c r="AA33" s="152"/>
      <c r="AB33" s="205"/>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row>
    <row r="34" spans="1:82" s="147" customFormat="1" ht="6" customHeight="1" x14ac:dyDescent="0.25">
      <c r="A34" s="146"/>
      <c r="B34" s="146"/>
      <c r="D34" s="504"/>
      <c r="F34" s="146"/>
      <c r="G34" s="146"/>
      <c r="H34" s="146"/>
      <c r="I34" s="146"/>
      <c r="J34" s="146"/>
      <c r="K34" s="146"/>
      <c r="L34" s="146"/>
      <c r="M34" s="146"/>
      <c r="N34" s="146"/>
      <c r="O34" s="146"/>
      <c r="P34" s="146"/>
      <c r="Q34" s="146"/>
      <c r="R34" s="146"/>
      <c r="S34" s="146"/>
      <c r="T34" s="146"/>
      <c r="U34" s="146"/>
      <c r="V34" s="146"/>
      <c r="W34" s="146"/>
      <c r="X34" s="152"/>
      <c r="Y34" s="152"/>
      <c r="AA34" s="152"/>
      <c r="AB34" s="205"/>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row>
    <row r="35" spans="1:82" s="38" customFormat="1" ht="14" x14ac:dyDescent="0.3">
      <c r="A35" s="146"/>
      <c r="B35" s="146"/>
      <c r="C35" s="325"/>
      <c r="D35" s="505" t="s">
        <v>340</v>
      </c>
      <c r="E35" s="146"/>
      <c r="F35" s="146"/>
      <c r="G35" s="146"/>
      <c r="H35" s="146"/>
      <c r="I35" s="146"/>
      <c r="J35" s="146"/>
      <c r="K35" s="146"/>
      <c r="L35" s="146"/>
      <c r="M35" s="146"/>
      <c r="N35" s="146"/>
      <c r="O35" s="146"/>
      <c r="P35" s="146"/>
      <c r="Q35" s="146"/>
      <c r="R35" s="146"/>
      <c r="S35" s="146"/>
      <c r="T35" s="146"/>
      <c r="U35" s="146"/>
      <c r="V35" s="146"/>
      <c r="W35" s="36"/>
      <c r="X35" s="118"/>
      <c r="Y35" s="118"/>
      <c r="AA35" s="118"/>
      <c r="AB35" s="206"/>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row>
    <row r="36" spans="1:82" s="38" customFormat="1" ht="14" x14ac:dyDescent="0.3">
      <c r="A36" s="146"/>
      <c r="B36" s="146"/>
      <c r="C36" s="146"/>
      <c r="D36" s="146"/>
      <c r="E36" s="146"/>
      <c r="F36" s="146"/>
      <c r="G36" s="146"/>
      <c r="H36" s="146"/>
      <c r="I36" s="146"/>
      <c r="J36" s="146"/>
      <c r="K36" s="146"/>
      <c r="L36" s="146"/>
      <c r="M36" s="146"/>
      <c r="N36" s="146"/>
      <c r="O36" s="146"/>
      <c r="P36" s="146"/>
      <c r="Q36" s="146"/>
      <c r="R36" s="146"/>
      <c r="S36" s="146"/>
      <c r="T36" s="146"/>
      <c r="U36" s="146"/>
      <c r="V36" s="146"/>
      <c r="W36" s="36"/>
      <c r="X36" s="118"/>
      <c r="Y36" s="118"/>
      <c r="AA36" s="118"/>
      <c r="AB36" s="43"/>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row>
    <row r="37" spans="1:82" s="38" customFormat="1" ht="14" x14ac:dyDescent="0.3">
      <c r="A37" s="146"/>
      <c r="B37" s="146"/>
      <c r="C37" s="146"/>
      <c r="D37" s="146"/>
      <c r="E37" s="146"/>
      <c r="F37" s="146"/>
      <c r="G37" s="146"/>
      <c r="H37" s="146"/>
      <c r="I37" s="146"/>
      <c r="J37" s="146"/>
      <c r="K37" s="146"/>
      <c r="L37" s="146"/>
      <c r="M37" s="146"/>
      <c r="N37" s="146"/>
      <c r="O37" s="146"/>
      <c r="P37" s="146"/>
      <c r="Q37" s="146"/>
      <c r="R37" s="146"/>
      <c r="S37" s="146"/>
      <c r="T37" s="146"/>
      <c r="U37" s="146"/>
      <c r="V37" s="146"/>
      <c r="W37" s="36"/>
      <c r="X37" s="118"/>
      <c r="Y37" s="118"/>
      <c r="AA37" s="118"/>
      <c r="AB37" s="43"/>
      <c r="AE37" s="118"/>
      <c r="AF37" s="118"/>
      <c r="AG37" s="118"/>
      <c r="AH37" s="118"/>
      <c r="AI37" s="118"/>
      <c r="AJ37" s="118"/>
      <c r="AK37" s="118"/>
      <c r="AL37" s="118"/>
      <c r="AM37" s="118"/>
      <c r="AN37" s="118"/>
      <c r="AO37" s="118"/>
      <c r="AP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CA37" s="118"/>
      <c r="CB37" s="118"/>
      <c r="CC37" s="118"/>
      <c r="CD37" s="118"/>
    </row>
    <row r="38" spans="1:82" s="38" customFormat="1" thickBot="1" x14ac:dyDescent="0.35">
      <c r="A38" s="146"/>
      <c r="B38" s="146"/>
      <c r="C38" s="146"/>
      <c r="D38" s="146"/>
      <c r="E38" s="146"/>
      <c r="F38" s="146"/>
      <c r="G38" s="146"/>
      <c r="H38" s="146"/>
      <c r="I38" s="146"/>
      <c r="J38" s="146"/>
      <c r="K38" s="146"/>
      <c r="L38" s="146"/>
      <c r="M38" s="146"/>
      <c r="N38" s="146"/>
      <c r="O38" s="146"/>
      <c r="P38" s="146"/>
      <c r="Q38" s="146"/>
      <c r="R38" s="146"/>
      <c r="S38" s="146"/>
      <c r="T38" s="146"/>
      <c r="U38" s="146"/>
      <c r="V38" s="146"/>
      <c r="W38" s="36"/>
      <c r="X38" s="118"/>
      <c r="Y38" s="118"/>
      <c r="AA38" s="118"/>
      <c r="AB38" s="118"/>
      <c r="AC38" s="215"/>
      <c r="AD38" s="118"/>
      <c r="AE38" s="118"/>
      <c r="AF38" s="118"/>
      <c r="AG38" s="118"/>
      <c r="AH38" s="118"/>
      <c r="AI38" s="118"/>
      <c r="AJ38" s="118"/>
      <c r="AK38" s="118"/>
      <c r="AL38" s="118"/>
      <c r="AM38" s="118"/>
      <c r="AN38" s="118"/>
      <c r="AO38" s="118"/>
      <c r="AP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CA38" s="118"/>
      <c r="CB38" s="118"/>
      <c r="CC38" s="118"/>
      <c r="CD38" s="118"/>
    </row>
    <row r="39" spans="1:82" s="38" customFormat="1" thickBot="1" x14ac:dyDescent="0.35">
      <c r="A39" s="146"/>
      <c r="B39" s="146"/>
      <c r="C39" s="146"/>
      <c r="D39" s="146"/>
      <c r="E39" s="146"/>
      <c r="F39" s="146"/>
      <c r="G39" s="146"/>
      <c r="H39" s="146"/>
      <c r="I39" s="146"/>
      <c r="J39" s="146"/>
      <c r="K39" s="146"/>
      <c r="L39" s="146"/>
      <c r="M39" s="146"/>
      <c r="N39" s="146"/>
      <c r="O39" s="146"/>
      <c r="P39" s="146"/>
      <c r="Q39" s="146"/>
      <c r="R39" s="146"/>
      <c r="S39" s="146"/>
      <c r="T39" s="146"/>
      <c r="U39" s="146"/>
      <c r="V39" s="146"/>
      <c r="W39" s="36"/>
      <c r="X39" s="118"/>
      <c r="Y39" s="118"/>
      <c r="AA39" s="118"/>
      <c r="AB39" s="118"/>
      <c r="AC39" s="118"/>
      <c r="AD39" s="118"/>
      <c r="AE39" s="118"/>
      <c r="AF39" s="118"/>
      <c r="AG39" s="118"/>
      <c r="AH39" s="118"/>
      <c r="AI39" s="118"/>
      <c r="AJ39" s="118"/>
      <c r="AK39" s="118"/>
      <c r="AL39" s="118"/>
      <c r="AM39" s="118"/>
      <c r="AN39" s="118"/>
      <c r="AO39" s="118"/>
      <c r="AP39" s="118"/>
      <c r="AQ39" s="210" t="str">
        <f>"Investissement par action et quantité de CEE dans le budget total"</f>
        <v>Investissement par action et quantité de CEE dans le budget total</v>
      </c>
      <c r="AR39" s="207"/>
      <c r="AS39" s="211"/>
      <c r="AT39" s="207"/>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CA39" s="118"/>
      <c r="CB39" s="118"/>
      <c r="CC39" s="118"/>
      <c r="CD39" s="118"/>
    </row>
    <row r="40" spans="1:82" s="38" customFormat="1" ht="56.5" thickBot="1" x14ac:dyDescent="0.35">
      <c r="A40" s="36"/>
      <c r="B40" s="36"/>
      <c r="C40" s="36"/>
      <c r="D40" s="36"/>
      <c r="E40" s="36"/>
      <c r="F40" s="36"/>
      <c r="G40" s="36"/>
      <c r="H40" s="36"/>
      <c r="I40" s="36"/>
      <c r="J40" s="36"/>
      <c r="K40" s="36"/>
      <c r="L40" s="36"/>
      <c r="M40" s="36"/>
      <c r="N40" s="36"/>
      <c r="O40" s="36"/>
      <c r="P40" s="36"/>
      <c r="Q40" s="36"/>
      <c r="R40" s="36"/>
      <c r="S40" s="36"/>
      <c r="T40" s="36"/>
      <c r="U40" s="36"/>
      <c r="V40" s="36"/>
      <c r="W40" s="36"/>
      <c r="X40" s="118"/>
      <c r="Y40" s="118"/>
      <c r="AA40" s="118"/>
      <c r="AB40" s="118"/>
      <c r="AC40" s="118"/>
      <c r="AD40" s="219"/>
      <c r="AE40" s="219"/>
      <c r="AF40" s="220"/>
      <c r="AN40" s="220"/>
      <c r="AO40" s="220"/>
      <c r="AP40" s="220"/>
      <c r="AQ40" s="118"/>
      <c r="AR40" s="216"/>
      <c r="AS40" s="217" t="s">
        <v>143</v>
      </c>
      <c r="AT40" s="218" t="s">
        <v>144</v>
      </c>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CA40" s="118"/>
      <c r="CB40" s="118"/>
      <c r="CC40" s="118"/>
      <c r="CD40" s="118"/>
    </row>
    <row r="41" spans="1:82" s="38" customFormat="1" ht="14" x14ac:dyDescent="0.3">
      <c r="A41" s="36"/>
      <c r="B41" s="36"/>
      <c r="C41" s="36"/>
      <c r="D41" s="36"/>
      <c r="E41" s="36"/>
      <c r="F41" s="36"/>
      <c r="G41" s="36"/>
      <c r="H41" s="36"/>
      <c r="I41" s="36"/>
      <c r="J41" s="36"/>
      <c r="K41" s="36"/>
      <c r="L41" s="36"/>
      <c r="M41" s="36"/>
      <c r="N41" s="36"/>
      <c r="O41" s="36"/>
      <c r="P41" s="36"/>
      <c r="Q41" s="36"/>
      <c r="R41" s="36"/>
      <c r="S41" s="36"/>
      <c r="T41" s="36"/>
      <c r="U41" s="36"/>
      <c r="V41" s="36"/>
      <c r="W41" s="36"/>
      <c r="X41" s="118"/>
      <c r="Y41" s="118"/>
      <c r="AA41" s="118"/>
      <c r="AB41" s="118"/>
      <c r="AC41" s="118"/>
      <c r="AD41" s="225"/>
      <c r="AE41" s="118"/>
      <c r="AF41" s="118"/>
      <c r="AN41" s="118"/>
      <c r="AO41" s="118"/>
      <c r="AP41" s="118"/>
      <c r="AQ41" s="209" t="s">
        <v>146</v>
      </c>
      <c r="AR41" s="208" t="s">
        <v>146</v>
      </c>
      <c r="AS41" s="214"/>
      <c r="AT41" s="214" t="str">
        <f>IF(ISERROR(Y27-L6),Y27,Y27-L6)</f>
        <v/>
      </c>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CA41" s="118"/>
      <c r="CB41" s="118"/>
      <c r="CC41" s="118"/>
      <c r="CD41" s="118"/>
    </row>
    <row r="42" spans="1:82" s="38" customFormat="1" ht="14" x14ac:dyDescent="0.3">
      <c r="A42" s="36"/>
      <c r="B42" s="36"/>
      <c r="C42" s="36"/>
      <c r="D42" s="36"/>
      <c r="E42" s="36"/>
      <c r="F42" s="36"/>
      <c r="G42" s="36"/>
      <c r="H42" s="36"/>
      <c r="I42" s="36"/>
      <c r="J42" s="36"/>
      <c r="K42" s="36"/>
      <c r="L42" s="36"/>
      <c r="M42" s="36"/>
      <c r="N42" s="36"/>
      <c r="O42" s="36"/>
      <c r="P42" s="36"/>
      <c r="Q42" s="36"/>
      <c r="R42" s="36"/>
      <c r="S42" s="36"/>
      <c r="T42" s="36"/>
      <c r="U42" s="36"/>
      <c r="V42" s="36"/>
      <c r="W42" s="36"/>
      <c r="X42" s="118"/>
      <c r="Z42" s="118"/>
      <c r="AA42" s="118"/>
      <c r="AB42" s="118"/>
      <c r="AC42" s="118"/>
      <c r="AD42" s="227"/>
      <c r="AE42" s="118"/>
      <c r="AF42" s="118"/>
      <c r="AN42" s="118"/>
      <c r="AO42" s="118"/>
      <c r="AP42" s="118"/>
      <c r="AQ42" s="223" t="s">
        <v>142</v>
      </c>
      <c r="AR42" s="224" t="s">
        <v>142</v>
      </c>
      <c r="AS42" s="214"/>
      <c r="AT42" s="214">
        <f>L6</f>
        <v>34575</v>
      </c>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CA42" s="118"/>
      <c r="CB42" s="118"/>
      <c r="CC42" s="118"/>
      <c r="CD42" s="118"/>
    </row>
    <row r="43" spans="1:82" s="38" customFormat="1" ht="14" x14ac:dyDescent="0.3">
      <c r="A43" s="36"/>
      <c r="B43" s="36"/>
      <c r="C43" s="36"/>
      <c r="D43" s="36"/>
      <c r="E43" s="36"/>
      <c r="F43" s="36"/>
      <c r="G43" s="36"/>
      <c r="H43" s="36"/>
      <c r="I43" s="36"/>
      <c r="J43" s="36"/>
      <c r="K43" s="36"/>
      <c r="L43" s="36"/>
      <c r="M43" s="36"/>
      <c r="N43" s="36"/>
      <c r="O43" s="36"/>
      <c r="P43" s="36"/>
      <c r="Q43" s="36"/>
      <c r="R43" s="36"/>
      <c r="S43" s="36"/>
      <c r="T43" s="36"/>
      <c r="U43" s="36"/>
      <c r="V43" s="36"/>
      <c r="W43" s="36"/>
      <c r="X43" s="118"/>
      <c r="Z43" s="118"/>
      <c r="AA43" s="118"/>
      <c r="AB43" s="118"/>
      <c r="AC43" s="118"/>
      <c r="AD43" s="118"/>
      <c r="AE43" s="118"/>
      <c r="AF43" s="118"/>
      <c r="AN43" s="118"/>
      <c r="AO43" s="118"/>
      <c r="AP43" s="118"/>
      <c r="AQ43" s="212"/>
      <c r="AR43" s="226">
        <f t="shared" ref="AR43:AR52" si="24">C46</f>
        <v>0</v>
      </c>
      <c r="AS43" s="214">
        <f t="shared" ref="AS43:AS52" si="25">Y7</f>
        <v>50000</v>
      </c>
      <c r="AT43" s="214"/>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CA43" s="118"/>
      <c r="CB43" s="118"/>
      <c r="CC43" s="118"/>
      <c r="CD43" s="118"/>
    </row>
    <row r="44" spans="1:82" s="38" customFormat="1" ht="14" x14ac:dyDescent="0.3">
      <c r="A44" s="36"/>
      <c r="B44" s="36"/>
      <c r="C44" s="36"/>
      <c r="D44" s="36"/>
      <c r="E44" s="36"/>
      <c r="F44" s="36"/>
      <c r="G44" s="36"/>
      <c r="H44" s="36"/>
      <c r="I44" s="36"/>
      <c r="J44" s="36"/>
      <c r="K44" s="36"/>
      <c r="L44" s="36"/>
      <c r="M44" s="36"/>
      <c r="N44" s="36"/>
      <c r="O44" s="36"/>
      <c r="P44" s="36"/>
      <c r="Q44" s="36"/>
      <c r="R44" s="36"/>
      <c r="S44" s="36"/>
      <c r="T44" s="36"/>
      <c r="U44" s="36"/>
      <c r="V44" s="36"/>
      <c r="W44" s="36"/>
      <c r="X44" s="118"/>
      <c r="AA44" s="118"/>
      <c r="AB44" s="229"/>
      <c r="AC44" s="118"/>
      <c r="AD44" s="221"/>
      <c r="AE44" s="221"/>
      <c r="AF44" s="221"/>
      <c r="AN44" s="221"/>
      <c r="AO44" s="118"/>
      <c r="AP44" s="118"/>
      <c r="AQ44" s="212"/>
      <c r="AR44" s="226">
        <f t="shared" si="24"/>
        <v>0</v>
      </c>
      <c r="AS44" s="214">
        <f t="shared" si="25"/>
        <v>43500</v>
      </c>
      <c r="AT44" s="214"/>
      <c r="AU44" s="118"/>
      <c r="AV44" s="219"/>
      <c r="AW44" s="219"/>
      <c r="AX44" s="118"/>
      <c r="AY44" s="118"/>
      <c r="AZ44" s="118"/>
      <c r="BA44" s="118"/>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CA44" s="118"/>
      <c r="CB44" s="118"/>
      <c r="CC44" s="118"/>
      <c r="CD44" s="118"/>
    </row>
    <row r="45" spans="1:82" s="38" customFormat="1" thickBot="1" x14ac:dyDescent="0.35">
      <c r="A45" s="36"/>
      <c r="B45" s="36"/>
      <c r="C45" s="36"/>
      <c r="D45" s="36"/>
      <c r="E45" s="36"/>
      <c r="F45" s="36"/>
      <c r="G45" s="36"/>
      <c r="H45" s="36"/>
      <c r="I45" s="36"/>
      <c r="J45" s="36"/>
      <c r="K45" s="36"/>
      <c r="L45" s="36"/>
      <c r="M45" s="36"/>
      <c r="N45" s="36"/>
      <c r="O45" s="36"/>
      <c r="P45" s="36"/>
      <c r="Q45" s="36"/>
      <c r="R45" s="36"/>
      <c r="S45" s="36"/>
      <c r="T45" s="36"/>
      <c r="U45" s="36"/>
      <c r="V45" s="36"/>
      <c r="W45" s="36"/>
      <c r="X45" s="118"/>
      <c r="Y45" s="118"/>
      <c r="AA45" s="118"/>
      <c r="AB45" s="229"/>
      <c r="AC45" s="118"/>
      <c r="AD45" s="221"/>
      <c r="AE45" s="221"/>
      <c r="AF45" s="221"/>
      <c r="AN45" s="221"/>
      <c r="AO45" s="118"/>
      <c r="AP45" s="118"/>
      <c r="AQ45" s="212"/>
      <c r="AR45" s="226">
        <f t="shared" si="24"/>
        <v>0</v>
      </c>
      <c r="AS45" s="214">
        <f t="shared" si="25"/>
        <v>66000</v>
      </c>
      <c r="AT45" s="214"/>
      <c r="AU45" s="118"/>
      <c r="AV45" s="118"/>
      <c r="AW45" s="219"/>
      <c r="AX45" s="118"/>
      <c r="AY45" s="118"/>
      <c r="AZ45" s="118"/>
      <c r="BA45" s="118"/>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CA45" s="118"/>
      <c r="CB45" s="118"/>
      <c r="CC45" s="118"/>
      <c r="CD45" s="118"/>
    </row>
    <row r="46" spans="1:82" s="38" customFormat="1" thickBot="1" x14ac:dyDescent="0.35">
      <c r="A46" s="36"/>
      <c r="B46" s="36"/>
      <c r="C46" s="36"/>
      <c r="D46" s="36"/>
      <c r="E46" s="36"/>
      <c r="F46" s="36"/>
      <c r="G46" s="36"/>
      <c r="H46" s="36"/>
      <c r="I46" s="36"/>
      <c r="J46" s="36"/>
      <c r="K46" s="36"/>
      <c r="L46" s="36"/>
      <c r="M46" s="36"/>
      <c r="N46" s="36"/>
      <c r="O46" s="36"/>
      <c r="P46" s="36"/>
      <c r="Q46" s="36"/>
      <c r="R46" s="36"/>
      <c r="S46" s="36"/>
      <c r="T46" s="36"/>
      <c r="U46" s="36"/>
      <c r="V46" s="36"/>
      <c r="W46" s="36"/>
      <c r="X46" s="118"/>
      <c r="Y46" s="118"/>
      <c r="AA46" s="118"/>
      <c r="AB46" s="229"/>
      <c r="AC46" s="118"/>
      <c r="AD46" s="221"/>
      <c r="AE46" s="221"/>
      <c r="AF46" s="221"/>
      <c r="AN46" s="221"/>
      <c r="AO46" s="118"/>
      <c r="AP46" s="206"/>
      <c r="AQ46" s="212"/>
      <c r="AR46" s="226">
        <f t="shared" si="24"/>
        <v>0</v>
      </c>
      <c r="AS46" s="214">
        <f t="shared" si="25"/>
        <v>49500</v>
      </c>
      <c r="AT46" s="214"/>
      <c r="AU46" s="222"/>
      <c r="AV46" s="118"/>
      <c r="AW46" s="219"/>
      <c r="AX46" s="118"/>
      <c r="AY46" s="118"/>
      <c r="AZ46" s="118"/>
      <c r="BA46" s="118"/>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CA46" s="118"/>
      <c r="CB46" s="118"/>
      <c r="CC46" s="118"/>
      <c r="CD46" s="118"/>
    </row>
    <row r="47" spans="1:82" s="38" customFormat="1" ht="14" x14ac:dyDescent="0.3">
      <c r="A47" s="36"/>
      <c r="B47" s="36"/>
      <c r="C47" s="36"/>
      <c r="D47" s="36"/>
      <c r="E47" s="36"/>
      <c r="F47" s="36"/>
      <c r="G47" s="36"/>
      <c r="H47" s="36"/>
      <c r="I47" s="36"/>
      <c r="J47" s="36"/>
      <c r="K47" s="36"/>
      <c r="L47" s="36"/>
      <c r="M47" s="36"/>
      <c r="N47" s="36"/>
      <c r="O47" s="36"/>
      <c r="P47" s="36"/>
      <c r="Q47" s="36"/>
      <c r="R47" s="36"/>
      <c r="S47" s="36"/>
      <c r="T47" s="36"/>
      <c r="U47" s="36"/>
      <c r="V47" s="36"/>
      <c r="W47" s="36"/>
      <c r="X47" s="118"/>
      <c r="Y47" s="118"/>
      <c r="AA47" s="118"/>
      <c r="AB47" s="229"/>
      <c r="AC47" s="118"/>
      <c r="AD47" s="221"/>
      <c r="AE47" s="221"/>
      <c r="AF47" s="221"/>
      <c r="AN47" s="221"/>
      <c r="AO47" s="118"/>
      <c r="AP47" s="206"/>
      <c r="AQ47" s="212"/>
      <c r="AR47" s="226">
        <f t="shared" si="24"/>
        <v>0</v>
      </c>
      <c r="AS47" s="214">
        <f t="shared" si="25"/>
        <v>1500</v>
      </c>
      <c r="AT47" s="214"/>
      <c r="AU47" s="118"/>
      <c r="AV47" s="118"/>
      <c r="AW47" s="219"/>
      <c r="AX47" s="118"/>
      <c r="AY47" s="118"/>
      <c r="AZ47" s="118"/>
      <c r="BA47" s="118"/>
      <c r="BB47" s="197"/>
      <c r="BC47" s="197"/>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row>
    <row r="48" spans="1:82" s="38" customFormat="1" ht="14" x14ac:dyDescent="0.3">
      <c r="A48" s="36"/>
      <c r="B48" s="36"/>
      <c r="C48" s="36"/>
      <c r="D48" s="36"/>
      <c r="E48" s="36"/>
      <c r="F48" s="36"/>
      <c r="G48" s="36"/>
      <c r="H48" s="36"/>
      <c r="I48" s="36"/>
      <c r="J48" s="36"/>
      <c r="K48" s="36"/>
      <c r="L48" s="36"/>
      <c r="M48" s="36"/>
      <c r="N48" s="36"/>
      <c r="O48" s="36"/>
      <c r="P48" s="36"/>
      <c r="Q48" s="36"/>
      <c r="R48" s="36"/>
      <c r="S48" s="36"/>
      <c r="T48" s="36"/>
      <c r="U48" s="36"/>
      <c r="V48" s="36"/>
      <c r="W48" s="36"/>
      <c r="X48" s="118"/>
      <c r="Y48" s="118"/>
      <c r="AA48" s="118"/>
      <c r="AB48" s="229"/>
      <c r="AC48" s="118"/>
      <c r="AD48" s="221"/>
      <c r="AE48" s="221"/>
      <c r="AF48" s="221"/>
      <c r="AN48" s="221"/>
      <c r="AO48" s="118"/>
      <c r="AP48" s="206"/>
      <c r="AQ48" s="212"/>
      <c r="AR48" s="226">
        <f t="shared" si="24"/>
        <v>0</v>
      </c>
      <c r="AS48" s="214">
        <f t="shared" si="25"/>
        <v>62100</v>
      </c>
      <c r="AT48" s="214"/>
      <c r="AU48" s="118"/>
      <c r="AV48" s="118"/>
      <c r="AW48" s="219"/>
      <c r="AX48" s="118"/>
      <c r="AY48" s="118"/>
      <c r="AZ48" s="118"/>
      <c r="BA48" s="118"/>
      <c r="BB48" s="197"/>
      <c r="BC48" s="197"/>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row>
    <row r="49" spans="1:93" s="38" customFormat="1" ht="15" customHeight="1" x14ac:dyDescent="0.3">
      <c r="A49" s="36"/>
      <c r="B49" s="36"/>
      <c r="C49" s="36"/>
      <c r="D49" s="36"/>
      <c r="E49" s="36"/>
      <c r="F49" s="36"/>
      <c r="G49" s="36"/>
      <c r="H49" s="36"/>
      <c r="I49" s="36"/>
      <c r="J49" s="36"/>
      <c r="K49" s="36"/>
      <c r="L49" s="36"/>
      <c r="M49" s="36"/>
      <c r="N49" s="36"/>
      <c r="O49" s="36"/>
      <c r="P49" s="36"/>
      <c r="Q49" s="36"/>
      <c r="R49" s="36"/>
      <c r="S49" s="36"/>
      <c r="T49" s="36"/>
      <c r="U49" s="36"/>
      <c r="V49" s="36"/>
      <c r="W49" s="36"/>
      <c r="X49" s="118"/>
      <c r="Y49" s="118"/>
      <c r="AA49" s="118"/>
      <c r="AB49" s="229"/>
      <c r="AC49" s="118"/>
      <c r="AD49" s="221"/>
      <c r="AE49" s="221"/>
      <c r="AF49" s="221"/>
      <c r="AN49" s="221"/>
      <c r="AO49" s="118"/>
      <c r="AP49" s="206"/>
      <c r="AQ49" s="212"/>
      <c r="AR49" s="226">
        <f t="shared" si="24"/>
        <v>0</v>
      </c>
      <c r="AS49" s="214">
        <f t="shared" si="25"/>
        <v>50000</v>
      </c>
      <c r="AT49" s="214"/>
      <c r="AU49" s="118"/>
      <c r="AV49" s="118"/>
      <c r="AW49" s="219"/>
      <c r="AX49" s="118"/>
      <c r="AY49" s="118"/>
      <c r="AZ49" s="118"/>
      <c r="BA49" s="118"/>
      <c r="BB49" s="197"/>
      <c r="BC49" s="197"/>
      <c r="BD49" s="197"/>
      <c r="BE49" s="197"/>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118"/>
      <c r="CC49" s="118"/>
      <c r="CD49" s="118"/>
    </row>
    <row r="50" spans="1:93" s="38" customFormat="1" ht="14" x14ac:dyDescent="0.3">
      <c r="A50" s="36"/>
      <c r="B50" s="36"/>
      <c r="C50" s="36"/>
      <c r="D50" s="36"/>
      <c r="E50" s="36"/>
      <c r="F50" s="36"/>
      <c r="G50" s="36"/>
      <c r="H50" s="36"/>
      <c r="I50" s="36"/>
      <c r="J50" s="36"/>
      <c r="K50" s="36"/>
      <c r="L50" s="36"/>
      <c r="M50" s="36"/>
      <c r="N50" s="36"/>
      <c r="O50" s="36"/>
      <c r="P50" s="36"/>
      <c r="Q50" s="36"/>
      <c r="R50" s="36"/>
      <c r="S50" s="36"/>
      <c r="T50" s="36"/>
      <c r="U50" s="36"/>
      <c r="V50" s="36"/>
      <c r="W50" s="36"/>
      <c r="X50" s="118"/>
      <c r="Y50" s="118"/>
      <c r="AA50" s="118"/>
      <c r="AB50" s="229"/>
      <c r="AC50" s="118"/>
      <c r="AD50" s="221"/>
      <c r="AE50" s="221"/>
      <c r="AF50" s="221"/>
      <c r="AN50" s="221"/>
      <c r="AO50" s="118"/>
      <c r="AP50" s="206"/>
      <c r="AQ50" s="212"/>
      <c r="AR50" s="226" t="s">
        <v>360</v>
      </c>
      <c r="AS50" s="214">
        <f t="shared" si="25"/>
        <v>5300</v>
      </c>
      <c r="AT50" s="214"/>
      <c r="AU50" s="219"/>
      <c r="AV50" s="118"/>
      <c r="AW50" s="219"/>
      <c r="AX50" s="118"/>
      <c r="AY50" s="118"/>
      <c r="AZ50" s="118"/>
      <c r="BA50" s="118"/>
      <c r="BB50" s="197"/>
      <c r="BC50" s="197"/>
      <c r="BD50" s="197"/>
      <c r="BE50" s="197"/>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118"/>
      <c r="CC50" s="118"/>
      <c r="CD50" s="118"/>
    </row>
    <row r="51" spans="1:93" s="38" customFormat="1" ht="14" x14ac:dyDescent="0.3">
      <c r="A51" s="36"/>
      <c r="B51" s="36"/>
      <c r="C51" s="36"/>
      <c r="D51" s="36"/>
      <c r="E51" s="36"/>
      <c r="F51" s="36"/>
      <c r="G51" s="36"/>
      <c r="H51" s="36"/>
      <c r="I51" s="36"/>
      <c r="J51" s="36"/>
      <c r="K51" s="36"/>
      <c r="L51" s="36"/>
      <c r="M51" s="36"/>
      <c r="N51" s="36"/>
      <c r="O51" s="36"/>
      <c r="P51" s="36"/>
      <c r="Q51" s="36"/>
      <c r="R51" s="36"/>
      <c r="S51" s="36"/>
      <c r="T51" s="36"/>
      <c r="U51" s="36"/>
      <c r="V51" s="36"/>
      <c r="W51" s="36"/>
      <c r="X51" s="118"/>
      <c r="Y51" s="118"/>
      <c r="AA51" s="118"/>
      <c r="AB51" s="229"/>
      <c r="AC51" s="118"/>
      <c r="AD51" s="221"/>
      <c r="AE51" s="221"/>
      <c r="AF51" s="221"/>
      <c r="AN51" s="221"/>
      <c r="AO51" s="118"/>
      <c r="AP51" s="206"/>
      <c r="AQ51" s="212"/>
      <c r="AR51" s="226">
        <f t="shared" si="24"/>
        <v>0</v>
      </c>
      <c r="AS51" s="214">
        <f t="shared" si="25"/>
        <v>65000</v>
      </c>
      <c r="AT51" s="214"/>
      <c r="AU51" s="219"/>
      <c r="AV51" s="118"/>
      <c r="AW51" s="219"/>
      <c r="AX51" s="118"/>
      <c r="AY51" s="118"/>
      <c r="AZ51" s="118"/>
      <c r="BA51" s="118"/>
      <c r="BB51" s="197"/>
      <c r="BC51" s="197"/>
      <c r="BD51" s="197"/>
      <c r="BE51" s="197"/>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118"/>
      <c r="CC51" s="118"/>
      <c r="CD51" s="118"/>
    </row>
    <row r="52" spans="1:93" s="38" customFormat="1" thickBot="1" x14ac:dyDescent="0.35">
      <c r="A52" s="36"/>
      <c r="B52" s="36"/>
      <c r="C52" s="36"/>
      <c r="D52" s="36"/>
      <c r="E52" s="36"/>
      <c r="F52" s="36"/>
      <c r="G52" s="36"/>
      <c r="H52" s="36"/>
      <c r="I52" s="36"/>
      <c r="J52" s="36"/>
      <c r="K52" s="36"/>
      <c r="L52" s="36"/>
      <c r="M52" s="36"/>
      <c r="N52" s="36"/>
      <c r="O52" s="36"/>
      <c r="P52" s="36"/>
      <c r="Q52" s="36"/>
      <c r="R52" s="36"/>
      <c r="S52" s="36"/>
      <c r="T52" s="36"/>
      <c r="U52" s="36"/>
      <c r="V52" s="36"/>
      <c r="W52" s="36"/>
      <c r="X52" s="118"/>
      <c r="Y52" s="118"/>
      <c r="AA52" s="118"/>
      <c r="AB52" s="229"/>
      <c r="AC52" s="232"/>
      <c r="AD52" s="221"/>
      <c r="AE52" s="221"/>
      <c r="AF52" s="221"/>
      <c r="AG52" s="118"/>
      <c r="AH52" s="118"/>
      <c r="AI52" s="118"/>
      <c r="AJ52" s="118"/>
      <c r="AK52" s="118"/>
      <c r="AL52" s="118"/>
      <c r="AM52" s="118"/>
      <c r="AN52" s="221"/>
      <c r="AO52" s="118"/>
      <c r="AP52" s="206"/>
      <c r="AQ52" s="230"/>
      <c r="AR52" s="226">
        <f t="shared" si="24"/>
        <v>0</v>
      </c>
      <c r="AS52" s="231">
        <f t="shared" si="25"/>
        <v>5000</v>
      </c>
      <c r="AT52" s="231"/>
      <c r="AU52" s="219"/>
      <c r="AV52" s="118"/>
      <c r="AW52" s="219"/>
      <c r="AX52" s="118"/>
      <c r="AY52" s="118"/>
      <c r="AZ52" s="118"/>
      <c r="BA52" s="118"/>
      <c r="BB52" s="197"/>
      <c r="BC52" s="197"/>
      <c r="BD52" s="197"/>
      <c r="BE52" s="197"/>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118"/>
      <c r="CC52" s="118"/>
      <c r="CD52" s="118"/>
    </row>
    <row r="53" spans="1:93" s="38" customFormat="1" ht="14" x14ac:dyDescent="0.3">
      <c r="A53" s="36"/>
      <c r="B53" s="36"/>
      <c r="C53" s="36"/>
      <c r="D53" s="36"/>
      <c r="E53" s="36"/>
      <c r="F53" s="36"/>
      <c r="G53" s="36"/>
      <c r="H53" s="36"/>
      <c r="I53" s="36"/>
      <c r="J53" s="36"/>
      <c r="K53" s="36"/>
      <c r="L53" s="36"/>
      <c r="M53" s="36"/>
      <c r="N53" s="36"/>
      <c r="O53" s="36"/>
      <c r="P53" s="36"/>
      <c r="Q53" s="36"/>
      <c r="R53" s="36"/>
      <c r="S53" s="36"/>
      <c r="T53" s="36"/>
      <c r="U53" s="36"/>
      <c r="V53" s="36"/>
      <c r="W53" s="36"/>
      <c r="X53" s="118"/>
      <c r="Y53" s="118"/>
      <c r="AB53" s="118"/>
      <c r="AC53" s="232"/>
      <c r="AD53" s="221"/>
      <c r="AE53" s="221"/>
      <c r="AF53" s="221"/>
      <c r="AG53" s="118"/>
      <c r="AH53" s="118"/>
      <c r="AI53" s="118"/>
      <c r="AJ53" s="118"/>
      <c r="AK53" s="118"/>
      <c r="AL53" s="118"/>
      <c r="AM53" s="118"/>
      <c r="AN53" s="221"/>
      <c r="AO53" s="118"/>
      <c r="AP53" s="206"/>
      <c r="AQ53" s="118"/>
      <c r="AR53" s="118"/>
      <c r="AS53" s="118"/>
      <c r="AT53" s="118"/>
      <c r="AU53" s="219"/>
      <c r="AV53" s="118"/>
      <c r="AW53" s="219"/>
      <c r="AX53" s="118"/>
      <c r="AY53" s="118"/>
      <c r="AZ53" s="118"/>
      <c r="BA53" s="118"/>
      <c r="BB53" s="197"/>
      <c r="BC53" s="197"/>
      <c r="BD53" s="197"/>
      <c r="BE53" s="197"/>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118"/>
      <c r="CC53" s="118"/>
      <c r="CD53" s="118"/>
    </row>
    <row r="54" spans="1:93" s="38" customFormat="1" ht="14" x14ac:dyDescent="0.3">
      <c r="A54" s="37"/>
      <c r="B54" s="37"/>
      <c r="C54" s="37"/>
      <c r="D54" s="37"/>
      <c r="E54" s="37"/>
      <c r="F54" s="37"/>
      <c r="G54" s="37"/>
      <c r="H54" s="37"/>
      <c r="I54" s="37"/>
      <c r="J54" s="37"/>
      <c r="K54" s="37"/>
      <c r="L54" s="37"/>
      <c r="M54" s="37"/>
      <c r="N54" s="37"/>
      <c r="O54" s="37"/>
      <c r="P54" s="37"/>
      <c r="Q54" s="37"/>
      <c r="R54" s="37"/>
      <c r="S54" s="37"/>
      <c r="T54" s="37"/>
      <c r="U54" s="37"/>
      <c r="V54" s="37"/>
      <c r="W54" s="37"/>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97"/>
      <c r="BA54" s="197"/>
      <c r="BB54" s="197"/>
      <c r="BC54" s="197"/>
      <c r="BD54" s="197"/>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118"/>
      <c r="CE54" s="118"/>
    </row>
    <row r="55" spans="1:93" s="38" customFormat="1" ht="14" hidden="1" x14ac:dyDescent="0.3">
      <c r="A55" s="37"/>
      <c r="B55" s="37"/>
      <c r="C55" s="37"/>
      <c r="D55" s="37"/>
      <c r="E55" s="37"/>
      <c r="F55" s="37"/>
      <c r="G55" s="37"/>
      <c r="H55" s="37"/>
      <c r="I55" s="37"/>
      <c r="J55" s="37"/>
      <c r="K55" s="37"/>
      <c r="L55" s="37"/>
      <c r="M55" s="37"/>
      <c r="N55" s="37"/>
      <c r="O55" s="37"/>
      <c r="P55" s="37"/>
      <c r="Q55" s="37"/>
      <c r="R55" s="37"/>
      <c r="S55" s="37"/>
      <c r="T55" s="37"/>
      <c r="U55" s="37"/>
      <c r="V55" s="37"/>
      <c r="W55" s="37"/>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97"/>
      <c r="BA55" s="197"/>
      <c r="BB55" s="197"/>
      <c r="BC55" s="197"/>
      <c r="BD55" s="197"/>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118"/>
      <c r="CE55" s="118"/>
    </row>
    <row r="56" spans="1:93" s="38" customFormat="1" ht="14" hidden="1" x14ac:dyDescent="0.3">
      <c r="A56" s="37"/>
      <c r="B56" s="37"/>
      <c r="C56" s="37"/>
      <c r="D56" s="37"/>
      <c r="E56" s="37"/>
      <c r="F56" s="37"/>
      <c r="G56" s="37"/>
      <c r="H56" s="37"/>
      <c r="I56" s="37"/>
      <c r="J56" s="37"/>
      <c r="K56" s="37"/>
      <c r="L56" s="37"/>
      <c r="M56" s="37"/>
      <c r="N56" s="37"/>
      <c r="O56" s="37"/>
      <c r="P56" s="37"/>
      <c r="Q56" s="37"/>
      <c r="R56" s="37"/>
      <c r="S56" s="37"/>
      <c r="T56" s="37"/>
      <c r="U56" s="37"/>
      <c r="V56" s="37"/>
      <c r="W56" s="37"/>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97"/>
      <c r="BA56" s="197"/>
      <c r="BB56" s="197"/>
      <c r="BC56" s="197"/>
      <c r="BD56" s="197"/>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118"/>
      <c r="CE56" s="118"/>
    </row>
    <row r="57" spans="1:93" s="38" customFormat="1" ht="14" hidden="1" x14ac:dyDescent="0.3">
      <c r="A57" s="37"/>
      <c r="B57" s="37"/>
      <c r="C57" s="37"/>
      <c r="D57" s="37"/>
      <c r="E57" s="37"/>
      <c r="F57" s="37"/>
      <c r="G57" s="37"/>
      <c r="H57" s="37"/>
      <c r="I57" s="37"/>
      <c r="J57" s="37"/>
      <c r="K57" s="37"/>
      <c r="L57" s="37"/>
      <c r="M57" s="37"/>
      <c r="N57" s="37"/>
      <c r="O57" s="37"/>
      <c r="P57" s="37"/>
      <c r="Q57" s="37"/>
      <c r="R57" s="37"/>
      <c r="S57" s="37"/>
      <c r="T57" s="37"/>
      <c r="U57" s="37"/>
      <c r="V57" s="37"/>
      <c r="W57" s="37"/>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97"/>
      <c r="BA57" s="197"/>
      <c r="BB57" s="197"/>
      <c r="BC57" s="197"/>
      <c r="BD57" s="197"/>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118"/>
      <c r="CE57" s="118"/>
    </row>
    <row r="58" spans="1:93" s="38" customFormat="1" ht="14" hidden="1" x14ac:dyDescent="0.3">
      <c r="A58" s="37"/>
      <c r="B58" s="37"/>
      <c r="C58" s="37"/>
      <c r="D58" s="37"/>
      <c r="E58" s="37"/>
      <c r="F58" s="37"/>
      <c r="G58" s="37"/>
      <c r="H58" s="37"/>
      <c r="I58" s="37"/>
      <c r="J58" s="37"/>
      <c r="K58" s="37"/>
      <c r="L58" s="37"/>
      <c r="M58" s="37"/>
      <c r="N58" s="37"/>
      <c r="O58" s="37"/>
      <c r="P58" s="37"/>
      <c r="Q58" s="37"/>
      <c r="R58" s="37"/>
      <c r="S58" s="37"/>
      <c r="T58" s="37"/>
      <c r="U58" s="37"/>
      <c r="V58" s="37"/>
      <c r="W58" s="37"/>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97"/>
      <c r="BA58" s="197"/>
      <c r="BB58" s="197"/>
      <c r="BC58" s="197"/>
      <c r="BD58" s="197"/>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118"/>
      <c r="CE58" s="118"/>
    </row>
    <row r="59" spans="1:93" s="38" customFormat="1" ht="14" hidden="1" x14ac:dyDescent="0.3">
      <c r="A59" s="37"/>
      <c r="B59" s="37"/>
      <c r="C59" s="37"/>
      <c r="D59" s="37"/>
      <c r="E59" s="37"/>
      <c r="F59" s="37"/>
      <c r="G59" s="37"/>
      <c r="H59" s="37"/>
      <c r="I59" s="37"/>
      <c r="J59" s="37"/>
      <c r="K59" s="37"/>
      <c r="L59" s="37"/>
      <c r="M59" s="37"/>
      <c r="N59" s="37"/>
      <c r="O59" s="37"/>
      <c r="P59" s="37"/>
      <c r="Q59" s="37"/>
      <c r="R59" s="37"/>
      <c r="S59" s="37"/>
      <c r="T59" s="37"/>
      <c r="U59" s="37"/>
      <c r="V59" s="37"/>
      <c r="W59" s="37"/>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97"/>
      <c r="BA59" s="197"/>
      <c r="BB59" s="197"/>
      <c r="BC59" s="197"/>
      <c r="BD59" s="197"/>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118"/>
      <c r="CE59" s="118"/>
    </row>
    <row r="60" spans="1:93" s="38" customFormat="1" ht="16.5" hidden="1" x14ac:dyDescent="0.35">
      <c r="A60" s="37"/>
      <c r="B60" s="37"/>
      <c r="C60" s="160" t="s">
        <v>152</v>
      </c>
      <c r="D60" s="37"/>
      <c r="E60" s="37"/>
      <c r="F60" s="37"/>
      <c r="G60" s="37"/>
      <c r="H60" s="37"/>
      <c r="I60" s="37"/>
      <c r="J60" s="37"/>
      <c r="K60" s="37"/>
      <c r="L60" s="37"/>
      <c r="M60" s="37"/>
      <c r="N60" s="37"/>
      <c r="O60" s="37"/>
      <c r="P60" s="37"/>
      <c r="Q60" s="37"/>
      <c r="R60" s="37"/>
      <c r="S60" s="37"/>
      <c r="T60" s="37"/>
      <c r="U60" s="37"/>
      <c r="V60" s="37"/>
      <c r="W60" s="37"/>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97"/>
      <c r="BA60" s="197"/>
      <c r="BB60" s="197"/>
      <c r="BC60" s="197"/>
      <c r="BD60" s="197"/>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118"/>
      <c r="CE60" s="118"/>
    </row>
    <row r="61" spans="1:93" s="38" customFormat="1" ht="14" hidden="1" x14ac:dyDescent="0.3">
      <c r="A61" s="37"/>
      <c r="B61" s="37"/>
      <c r="C61" s="36"/>
      <c r="V61" s="37"/>
      <c r="W61" s="37"/>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97"/>
      <c r="BA61" s="197"/>
      <c r="BB61" s="197"/>
      <c r="BC61" s="197"/>
      <c r="BD61" s="197"/>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118"/>
      <c r="CE61" s="118"/>
    </row>
    <row r="62" spans="1:93" s="38" customFormat="1" ht="14" hidden="1" x14ac:dyDescent="0.3">
      <c r="A62" s="37"/>
      <c r="B62" s="37"/>
      <c r="C62" s="38" t="s">
        <v>311</v>
      </c>
      <c r="D62" s="250" t="s">
        <v>149</v>
      </c>
      <c r="E62" s="259">
        <f t="shared" ref="E62:N62" si="26">F62-1</f>
        <v>2005</v>
      </c>
      <c r="F62" s="259">
        <f t="shared" si="26"/>
        <v>2006</v>
      </c>
      <c r="G62" s="259">
        <f t="shared" si="26"/>
        <v>2007</v>
      </c>
      <c r="H62" s="259">
        <f t="shared" si="26"/>
        <v>2008</v>
      </c>
      <c r="I62" s="259">
        <f t="shared" si="26"/>
        <v>2009</v>
      </c>
      <c r="J62" s="259">
        <f t="shared" si="26"/>
        <v>2010</v>
      </c>
      <c r="K62" s="259">
        <f t="shared" si="26"/>
        <v>2011</v>
      </c>
      <c r="L62" s="259">
        <f t="shared" si="26"/>
        <v>2012</v>
      </c>
      <c r="M62" s="259">
        <f t="shared" si="26"/>
        <v>2013</v>
      </c>
      <c r="N62" s="259">
        <f t="shared" si="26"/>
        <v>2014</v>
      </c>
      <c r="O62" s="259">
        <f>P62-1</f>
        <v>2015</v>
      </c>
      <c r="P62" s="729">
        <f>'Scénarios prix énergie'!D135</f>
        <v>2016</v>
      </c>
      <c r="Q62" s="259">
        <f>P62+1</f>
        <v>2017</v>
      </c>
      <c r="R62" s="259">
        <f t="shared" ref="R62:AI62" si="27">Q62+1</f>
        <v>2018</v>
      </c>
      <c r="S62" s="259">
        <f t="shared" si="27"/>
        <v>2019</v>
      </c>
      <c r="T62" s="259">
        <f t="shared" si="27"/>
        <v>2020</v>
      </c>
      <c r="U62" s="259">
        <f t="shared" si="27"/>
        <v>2021</v>
      </c>
      <c r="V62" s="259">
        <f t="shared" si="27"/>
        <v>2022</v>
      </c>
      <c r="W62" s="259">
        <f t="shared" si="27"/>
        <v>2023</v>
      </c>
      <c r="X62" s="259">
        <f t="shared" si="27"/>
        <v>2024</v>
      </c>
      <c r="Y62" s="259">
        <f t="shared" si="27"/>
        <v>2025</v>
      </c>
      <c r="Z62" s="259">
        <f t="shared" si="27"/>
        <v>2026</v>
      </c>
      <c r="AA62" s="259">
        <f t="shared" si="27"/>
        <v>2027</v>
      </c>
      <c r="AB62" s="259">
        <f t="shared" si="27"/>
        <v>2028</v>
      </c>
      <c r="AC62" s="259">
        <f t="shared" si="27"/>
        <v>2029</v>
      </c>
      <c r="AD62" s="259">
        <f t="shared" si="27"/>
        <v>2030</v>
      </c>
      <c r="AE62" s="259">
        <f t="shared" si="27"/>
        <v>2031</v>
      </c>
      <c r="AF62" s="259">
        <f t="shared" si="27"/>
        <v>2032</v>
      </c>
      <c r="AG62" s="259">
        <f t="shared" si="27"/>
        <v>2033</v>
      </c>
      <c r="AH62" s="259">
        <f t="shared" si="27"/>
        <v>2034</v>
      </c>
      <c r="AI62" s="259">
        <f t="shared" si="27"/>
        <v>2035</v>
      </c>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59"/>
      <c r="CE62" s="59"/>
      <c r="CF62" s="59"/>
      <c r="CG62" s="59"/>
      <c r="CH62" s="59"/>
      <c r="CI62" s="59"/>
      <c r="CJ62" s="59"/>
      <c r="CK62" s="233"/>
      <c r="CL62" s="118"/>
      <c r="CM62" s="118"/>
      <c r="CN62" s="118"/>
      <c r="CO62" s="118"/>
    </row>
    <row r="63" spans="1:93" s="38" customFormat="1" ht="14" hidden="1" x14ac:dyDescent="0.3">
      <c r="A63" s="37"/>
      <c r="B63" s="37"/>
      <c r="C63" s="252" t="s">
        <v>57</v>
      </c>
      <c r="D63" s="253" t="s">
        <v>330</v>
      </c>
      <c r="E63" s="320">
        <f ca="1">VLOOKUP($C63,'Prix historique'!$A$47:$X$54,HLOOKUP(E$62,'Prix historique'!$A$47:$X$48,2,FALSE),FALSE)</f>
        <v>67.400000000000006</v>
      </c>
      <c r="F63" s="320">
        <f ca="1">VLOOKUP($C63,'Prix historique'!$A$47:$X$54,HLOOKUP(F$62,'Prix historique'!$A$47:$X$48,2,FALSE),FALSE)</f>
        <v>67.400000000000006</v>
      </c>
      <c r="G63" s="320">
        <f ca="1">VLOOKUP($C63,'Prix historique'!$A$47:$X$54,HLOOKUP(G$62,'Prix historique'!$A$47:$X$48,2,FALSE),FALSE)</f>
        <v>68.5</v>
      </c>
      <c r="H63" s="320">
        <f ca="1">VLOOKUP($C63,'Prix historique'!$A$47:$X$54,HLOOKUP(H$62,'Prix historique'!$A$47:$X$48,2,FALSE),FALSE)</f>
        <v>57.249999999999993</v>
      </c>
      <c r="I63" s="320">
        <f ca="1">VLOOKUP($C63,'Prix historique'!$A$47:$X$54,HLOOKUP(I$62,'Prix historique'!$A$47:$X$48,2,FALSE),FALSE)</f>
        <v>64.900000000000006</v>
      </c>
      <c r="J63" s="320">
        <f ca="1">VLOOKUP($C63,'Prix historique'!$A$47:$X$54,HLOOKUP(J$62,'Prix historique'!$A$47:$X$48,2,FALSE),FALSE)</f>
        <v>66.099999999999994</v>
      </c>
      <c r="K63" s="320">
        <f ca="1">VLOOKUP($C63,'Prix historique'!$A$47:$X$54,HLOOKUP(K$62,'Prix historique'!$A$47:$X$48,2,FALSE),FALSE)</f>
        <v>72.099999999999994</v>
      </c>
      <c r="L63" s="320">
        <f ca="1">VLOOKUP($C63,'Prix historique'!$A$47:$X$54,HLOOKUP(L$62,'Prix historique'!$A$47:$X$48,2,FALSE),FALSE)</f>
        <v>75.550000000000011</v>
      </c>
      <c r="M63" s="320">
        <f ca="1">VLOOKUP($C63,'Prix historique'!$A$47:$X$54,HLOOKUP(M$62,'Prix historique'!$A$47:$X$48,2,FALSE),FALSE)</f>
        <v>78.800000000000011</v>
      </c>
      <c r="N63" s="320">
        <f ca="1">VLOOKUP($C63,'Prix historique'!$A$47:$X$54,HLOOKUP(N$62,'Prix historique'!$A$47:$X$48,2,FALSE),FALSE)</f>
        <v>80.900000000000006</v>
      </c>
      <c r="O63" s="320">
        <f ca="1">VLOOKUP($C63,'Prix historique'!$A$47:$X$54,HLOOKUP(O$62,'Prix historique'!$A$47:$X$48,2,FALSE),FALSE)</f>
        <v>85.75</v>
      </c>
      <c r="P63" s="320">
        <f ca="1">VLOOKUP($C63,'Prix historique'!$A$47:$X$54,HLOOKUP(P$62,'Prix historique'!$A$47:$X$48,2,FALSE),FALSE)</f>
        <v>83.7</v>
      </c>
      <c r="Q63" s="255"/>
      <c r="R63" s="255"/>
      <c r="S63" s="255"/>
      <c r="T63" s="255"/>
      <c r="U63" s="255"/>
      <c r="V63" s="255"/>
      <c r="W63" s="255"/>
      <c r="X63" s="255"/>
      <c r="Y63" s="255"/>
      <c r="Z63" s="255"/>
      <c r="AA63" s="255"/>
      <c r="AB63" s="255"/>
      <c r="AC63" s="255"/>
      <c r="AD63" s="255"/>
      <c r="AE63" s="255"/>
      <c r="AF63" s="255"/>
      <c r="AG63" s="255"/>
      <c r="AH63" s="255"/>
      <c r="AI63" s="255"/>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59"/>
      <c r="CE63" s="59"/>
      <c r="CF63" s="59"/>
      <c r="CG63" s="59"/>
      <c r="CH63" s="59"/>
      <c r="CI63" s="59"/>
      <c r="CJ63" s="59"/>
      <c r="CK63" s="233"/>
      <c r="CL63" s="118"/>
      <c r="CM63" s="118"/>
      <c r="CN63" s="118"/>
      <c r="CO63" s="118"/>
    </row>
    <row r="64" spans="1:93" s="38" customFormat="1" ht="14" hidden="1" x14ac:dyDescent="0.3">
      <c r="A64" s="37"/>
      <c r="B64" s="37"/>
      <c r="C64" s="249" t="s">
        <v>58</v>
      </c>
      <c r="D64" s="250" t="s">
        <v>330</v>
      </c>
      <c r="E64" s="321">
        <f ca="1">VLOOKUP($C64,'Prix historique'!$A$47:$X$54,HLOOKUP(E$62,'Prix historique'!$A$47:$X$48,2,FALSE),FALSE)</f>
        <v>26.657867370610351</v>
      </c>
      <c r="F64" s="321">
        <f ca="1">VLOOKUP($C64,'Prix historique'!$A$47:$X$54,HLOOKUP(F$62,'Prix historique'!$A$47:$X$48,2,FALSE),FALSE)</f>
        <v>33.417326613870891</v>
      </c>
      <c r="G64" s="321">
        <f ca="1">VLOOKUP($C64,'Prix historique'!$A$47:$X$54,HLOOKUP(G$62,'Prix historique'!$A$47:$X$48,2,FALSE),FALSE)</f>
        <v>31.317494600431964</v>
      </c>
      <c r="H64" s="321">
        <f ca="1">VLOOKUP($C64,'Prix historique'!$A$47:$X$54,HLOOKUP(H$62,'Prix historique'!$A$47:$X$48,2,FALSE),FALSE)</f>
        <v>40.166666666666664</v>
      </c>
      <c r="I64" s="321">
        <f ca="1">VLOOKUP($C64,'Prix historique'!$A$47:$X$54,HLOOKUP(I$62,'Prix historique'!$A$47:$X$48,2,FALSE),FALSE)</f>
        <v>37.611111111111114</v>
      </c>
      <c r="J64" s="321">
        <f ca="1">VLOOKUP($C64,'Prix historique'!$A$47:$X$54,HLOOKUP(J$62,'Prix historique'!$A$47:$X$48,2,FALSE),FALSE)</f>
        <v>37.777777777777779</v>
      </c>
      <c r="K64" s="321">
        <f ca="1">VLOOKUP($C64,'Prix historique'!$A$47:$X$54,HLOOKUP(K$62,'Prix historique'!$A$47:$X$48,2,FALSE),FALSE)</f>
        <v>41.277777777777786</v>
      </c>
      <c r="L64" s="321">
        <f ca="1">VLOOKUP($C64,'Prix historique'!$A$47:$X$54,HLOOKUP(L$62,'Prix historique'!$A$47:$X$48,2,FALSE),FALSE)</f>
        <v>43.999999999999993</v>
      </c>
      <c r="M64" s="321">
        <f ca="1">VLOOKUP($C64,'Prix historique'!$A$47:$X$54,HLOOKUP(M$62,'Prix historique'!$A$47:$X$48,2,FALSE),FALSE)</f>
        <v>44.222222222222229</v>
      </c>
      <c r="N64" s="321">
        <f ca="1">VLOOKUP($C64,'Prix historique'!$A$47:$X$54,HLOOKUP(N$62,'Prix historique'!$A$47:$X$48,2,FALSE),FALSE)</f>
        <v>42.55555555555555</v>
      </c>
      <c r="O64" s="321">
        <f ca="1">VLOOKUP($C64,'Prix historique'!$A$47:$X$54,HLOOKUP(O$62,'Prix historique'!$A$47:$X$48,2,FALSE),FALSE)</f>
        <v>41.388888888888886</v>
      </c>
      <c r="P64" s="321">
        <f ca="1">VLOOKUP($C64,'Prix historique'!$A$47:$X$54,HLOOKUP(P$62,'Prix historique'!$A$47:$X$48,2,FALSE),FALSE)</f>
        <v>40.888888888888886</v>
      </c>
      <c r="Q64" s="259"/>
      <c r="R64" s="259"/>
      <c r="S64" s="259"/>
      <c r="T64" s="259"/>
      <c r="U64" s="259"/>
      <c r="V64" s="259"/>
      <c r="W64" s="259"/>
      <c r="X64" s="259"/>
      <c r="Y64" s="259"/>
      <c r="Z64" s="259"/>
      <c r="AA64" s="259"/>
      <c r="AB64" s="259"/>
      <c r="AC64" s="259"/>
      <c r="AD64" s="259"/>
      <c r="AE64" s="259"/>
      <c r="AF64" s="259"/>
      <c r="AG64" s="259"/>
      <c r="AH64" s="259"/>
      <c r="AI64" s="259"/>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59"/>
      <c r="CE64" s="59"/>
      <c r="CF64" s="59"/>
      <c r="CG64" s="59"/>
      <c r="CH64" s="59"/>
      <c r="CI64" s="59"/>
      <c r="CJ64" s="59"/>
      <c r="CK64" s="233"/>
      <c r="CL64" s="118"/>
      <c r="CM64" s="118"/>
      <c r="CN64" s="118"/>
      <c r="CO64" s="118"/>
    </row>
    <row r="65" spans="1:94" s="38" customFormat="1" ht="14" hidden="1" x14ac:dyDescent="0.3">
      <c r="A65" s="37"/>
      <c r="B65" s="37"/>
      <c r="C65" s="249" t="s">
        <v>15</v>
      </c>
      <c r="D65" s="250" t="s">
        <v>330</v>
      </c>
      <c r="E65" s="321">
        <f>VLOOKUP($C65,'Prix historique'!$A$47:$X$54,HLOOKUP(E$62,'Prix historique'!$A$47:$X$48,2,FALSE),FALSE)</f>
        <v>23.803438034380346</v>
      </c>
      <c r="F65" s="321">
        <f>VLOOKUP($C65,'Prix historique'!$A$47:$X$54,HLOOKUP(F$62,'Prix historique'!$A$47:$X$48,2,FALSE),FALSE)</f>
        <v>26.592565925659258</v>
      </c>
      <c r="G65" s="321">
        <f>VLOOKUP($C65,'Prix historique'!$A$47:$X$54,HLOOKUP(G$62,'Prix historique'!$A$47:$X$48,2,FALSE),FALSE)</f>
        <v>28.033480334803347</v>
      </c>
      <c r="H65" s="321">
        <f>VLOOKUP($C65,'Prix historique'!$A$47:$X$54,HLOOKUP(H$62,'Prix historique'!$A$47:$X$48,2,FALSE),FALSE)</f>
        <v>36.177661776617768</v>
      </c>
      <c r="I65" s="321">
        <f>VLOOKUP($C65,'Prix historique'!$A$47:$X$54,HLOOKUP(I$62,'Prix historique'!$A$47:$X$48,2,FALSE),FALSE)</f>
        <v>28.619386193861938</v>
      </c>
      <c r="J65" s="321">
        <f>VLOOKUP($C65,'Prix historique'!$A$47:$X$54,HLOOKUP(J$62,'Prix historique'!$A$47:$X$48,2,FALSE),FALSE)</f>
        <v>37.049770497704976</v>
      </c>
      <c r="K65" s="321">
        <f>VLOOKUP($C65,'Prix historique'!$A$47:$X$54,HLOOKUP(K$62,'Prix historique'!$A$47:$X$48,2,FALSE),FALSE)</f>
        <v>47.102871028710283</v>
      </c>
      <c r="L65" s="321">
        <f>VLOOKUP($C65,'Prix historique'!$A$47:$X$54,HLOOKUP(L$62,'Prix historique'!$A$47:$X$48,2,FALSE),FALSE)</f>
        <v>54.055440554405543</v>
      </c>
      <c r="M65" s="321">
        <f>VLOOKUP($C65,'Prix historique'!$A$47:$X$54,HLOOKUP(M$62,'Prix historique'!$A$47:$X$48,2,FALSE),FALSE)</f>
        <v>49.675096750967512</v>
      </c>
      <c r="N65" s="321">
        <f>VLOOKUP($C65,'Prix historique'!$A$47:$X$54,HLOOKUP(N$62,'Prix historique'!$A$47:$X$48,2,FALSE),FALSE)</f>
        <v>46.519665196651964</v>
      </c>
      <c r="O65" s="321">
        <f>VLOOKUP($C65,'Prix historique'!$A$47:$X$54,HLOOKUP(O$62,'Prix historique'!$A$47:$X$48,2,FALSE),FALSE)</f>
        <v>33.343608436084352</v>
      </c>
      <c r="P65" s="321">
        <f>VLOOKUP($C65,'Prix historique'!$A$47:$X$54,HLOOKUP(P$62,'Prix historique'!$A$47:$X$48,2,FALSE),FALSE)</f>
        <v>27.000270002700024</v>
      </c>
      <c r="Q65" s="259"/>
      <c r="R65" s="259"/>
      <c r="S65" s="259"/>
      <c r="T65" s="259"/>
      <c r="U65" s="259"/>
      <c r="V65" s="259"/>
      <c r="W65" s="259"/>
      <c r="X65" s="259"/>
      <c r="Y65" s="259"/>
      <c r="Z65" s="259"/>
      <c r="AA65" s="259"/>
      <c r="AB65" s="259"/>
      <c r="AC65" s="259"/>
      <c r="AD65" s="259"/>
      <c r="AE65" s="259"/>
      <c r="AF65" s="259"/>
      <c r="AG65" s="259"/>
      <c r="AH65" s="259"/>
      <c r="AI65" s="259"/>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59"/>
      <c r="CE65" s="59"/>
      <c r="CF65" s="59"/>
      <c r="CG65" s="59"/>
      <c r="CH65" s="59"/>
      <c r="CI65" s="59"/>
      <c r="CJ65" s="59"/>
      <c r="CK65" s="233"/>
      <c r="CL65" s="118"/>
      <c r="CM65" s="118"/>
      <c r="CN65" s="118"/>
      <c r="CO65" s="118"/>
    </row>
    <row r="66" spans="1:94" s="38" customFormat="1" ht="14" hidden="1" x14ac:dyDescent="0.3">
      <c r="A66" s="37"/>
      <c r="B66" s="37"/>
      <c r="C66" s="249" t="s">
        <v>128</v>
      </c>
      <c r="D66" s="250" t="s">
        <v>330</v>
      </c>
      <c r="E66" s="321">
        <f>VLOOKUP($C66,'Prix historique'!$A$47:$X$54,HLOOKUP(E$62,'Prix historique'!$A$47:$X$48,2,FALSE),FALSE)</f>
        <v>49.083333333333336</v>
      </c>
      <c r="F66" s="321">
        <f>VLOOKUP($C66,'Prix historique'!$A$47:$X$54,HLOOKUP(F$62,'Prix historique'!$A$47:$X$48,2,FALSE),FALSE)</f>
        <v>54.25</v>
      </c>
      <c r="G66" s="321">
        <f>VLOOKUP($C66,'Prix historique'!$A$47:$X$54,HLOOKUP(G$62,'Prix historique'!$A$47:$X$48,2,FALSE),FALSE)</f>
        <v>54.416666666666664</v>
      </c>
      <c r="H66" s="321">
        <f>VLOOKUP($C66,'Prix historique'!$A$47:$X$54,HLOOKUP(H$62,'Prix historique'!$A$47:$X$48,2,FALSE),FALSE)</f>
        <v>69.666666666666671</v>
      </c>
      <c r="I66" s="321">
        <f>VLOOKUP($C66,'Prix historique'!$A$47:$X$54,HLOOKUP(I$62,'Prix historique'!$A$47:$X$48,2,FALSE),FALSE)</f>
        <v>48.083333333333329</v>
      </c>
      <c r="J66" s="321">
        <f>VLOOKUP($C66,'Prix historique'!$A$47:$X$54,HLOOKUP(J$62,'Prix historique'!$A$47:$X$48,2,FALSE),FALSE)</f>
        <v>59.833333333333336</v>
      </c>
      <c r="K66" s="321">
        <f>VLOOKUP($C66,'Prix historique'!$A$47:$X$54,HLOOKUP(K$62,'Prix historique'!$A$47:$X$48,2,FALSE),FALSE)</f>
        <v>74.166666666666671</v>
      </c>
      <c r="L66" s="321">
        <f>VLOOKUP($C66,'Prix historique'!$A$47:$X$54,HLOOKUP(L$62,'Prix historique'!$A$47:$X$48,2,FALSE),FALSE)</f>
        <v>81</v>
      </c>
      <c r="M66" s="321">
        <f>VLOOKUP($C66,'Prix historique'!$A$47:$X$54,HLOOKUP(M$62,'Prix historique'!$A$47:$X$48,2,FALSE),FALSE)</f>
        <v>77.5</v>
      </c>
      <c r="N66" s="321">
        <f>VLOOKUP($C66,'Prix historique'!$A$47:$X$54,HLOOKUP(N$62,'Prix historique'!$A$47:$X$48,2,FALSE),FALSE)</f>
        <v>71.833333333333329</v>
      </c>
      <c r="O66" s="321">
        <f>VLOOKUP($C66,'Prix historique'!$A$47:$X$54,HLOOKUP(O$62,'Prix historique'!$A$47:$X$48,2,FALSE),FALSE)</f>
        <v>59.26819444444444</v>
      </c>
      <c r="P66" s="321">
        <f>VLOOKUP($C66,'Prix historique'!$A$47:$X$54,HLOOKUP(P$62,'Prix historique'!$A$47:$X$48,2,FALSE),FALSE)</f>
        <v>47.300000000000004</v>
      </c>
      <c r="Q66" s="259"/>
      <c r="R66" s="259"/>
      <c r="S66" s="259"/>
      <c r="T66" s="259"/>
      <c r="U66" s="259"/>
      <c r="V66" s="259"/>
      <c r="W66" s="259"/>
      <c r="X66" s="259"/>
      <c r="Y66" s="259"/>
      <c r="Z66" s="259"/>
      <c r="AA66" s="259"/>
      <c r="AB66" s="259"/>
      <c r="AC66" s="259"/>
      <c r="AD66" s="259"/>
      <c r="AE66" s="259"/>
      <c r="AF66" s="259"/>
      <c r="AG66" s="259"/>
      <c r="AH66" s="259"/>
      <c r="AI66" s="259"/>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59"/>
      <c r="CE66" s="59"/>
      <c r="CF66" s="59"/>
      <c r="CG66" s="59"/>
      <c r="CH66" s="59"/>
      <c r="CI66" s="59"/>
      <c r="CJ66" s="59"/>
      <c r="CK66" s="233"/>
      <c r="CL66" s="118"/>
      <c r="CM66" s="118"/>
      <c r="CN66" s="118"/>
      <c r="CO66" s="118"/>
    </row>
    <row r="67" spans="1:94" s="38" customFormat="1" ht="14" hidden="1" x14ac:dyDescent="0.3">
      <c r="A67" s="37"/>
      <c r="B67" s="37"/>
      <c r="C67" s="249" t="s">
        <v>18</v>
      </c>
      <c r="D67" s="250" t="s">
        <v>330</v>
      </c>
      <c r="E67" s="321">
        <f>VLOOKUP($C67,'Prix historique'!$A$47:$X$54,HLOOKUP(E$62,'Prix historique'!$A$47:$X$48,2,FALSE),FALSE)</f>
        <v>77.25420115374969</v>
      </c>
      <c r="F67" s="321">
        <f>VLOOKUP($C67,'Prix historique'!$A$47:$X$54,HLOOKUP(F$62,'Prix historique'!$A$47:$X$48,2,FALSE),FALSE)</f>
        <v>85.719839478304493</v>
      </c>
      <c r="G67" s="321">
        <f>VLOOKUP($C67,'Prix historique'!$A$47:$X$54,HLOOKUP(G$62,'Prix historique'!$A$47:$X$48,2,FALSE),FALSE)</f>
        <v>87.114998745924268</v>
      </c>
      <c r="H67" s="321">
        <f>VLOOKUP($C67,'Prix historique'!$A$47:$X$54,HLOOKUP(H$62,'Prix historique'!$A$47:$X$48,2,FALSE),FALSE)</f>
        <v>98.355279658891405</v>
      </c>
      <c r="I67" s="321">
        <f>VLOOKUP($C67,'Prix historique'!$A$47:$X$54,HLOOKUP(I$62,'Prix historique'!$A$47:$X$48,2,FALSE),FALSE)</f>
        <v>85.617005267118145</v>
      </c>
      <c r="J67" s="321">
        <f>VLOOKUP($C67,'Prix historique'!$A$47:$X$54,HLOOKUP(J$62,'Prix historique'!$A$47:$X$48,2,FALSE),FALSE)</f>
        <v>91.265362427890651</v>
      </c>
      <c r="K67" s="321">
        <f>VLOOKUP($C67,'Prix historique'!$A$47:$X$54,HLOOKUP(K$62,'Prix historique'!$A$47:$X$48,2,FALSE),FALSE)</f>
        <v>104.73413594181089</v>
      </c>
      <c r="L67" s="321">
        <f>VLOOKUP($C67,'Prix historique'!$A$47:$X$54,HLOOKUP(L$62,'Prix historique'!$A$47:$X$48,2,FALSE),FALSE)</f>
        <v>112.30812641083523</v>
      </c>
      <c r="M67" s="321">
        <f>VLOOKUP($C67,'Prix historique'!$A$47:$X$54,HLOOKUP(M$62,'Prix historique'!$A$47:$X$48,2,FALSE),FALSE)</f>
        <v>114.26511161274141</v>
      </c>
      <c r="N67" s="321">
        <f>VLOOKUP($C67,'Prix historique'!$A$47:$X$54,HLOOKUP(N$62,'Prix historique'!$A$47:$X$48,2,FALSE),FALSE)</f>
        <v>106.93585663824096</v>
      </c>
      <c r="O67" s="321">
        <f>VLOOKUP($C67,'Prix historique'!$A$47:$X$54,HLOOKUP(O$62,'Prix historique'!$A$47:$X$48,2,FALSE),FALSE)</f>
        <v>99.992441580971501</v>
      </c>
      <c r="P67" s="321">
        <f>VLOOKUP($C67,'Prix historique'!$A$47:$X$54,HLOOKUP(P$62,'Prix historique'!$A$47:$X$48,2,FALSE),FALSE)</f>
        <v>95.311626666875682</v>
      </c>
      <c r="Q67" s="259"/>
      <c r="R67" s="259"/>
      <c r="S67" s="259"/>
      <c r="T67" s="259"/>
      <c r="U67" s="259"/>
      <c r="V67" s="259"/>
      <c r="W67" s="259"/>
      <c r="X67" s="259"/>
      <c r="Y67" s="259"/>
      <c r="Z67" s="259"/>
      <c r="AA67" s="259"/>
      <c r="AB67" s="259"/>
      <c r="AC67" s="259"/>
      <c r="AD67" s="259"/>
      <c r="AE67" s="259"/>
      <c r="AF67" s="259"/>
      <c r="AG67" s="259"/>
      <c r="AH67" s="259"/>
      <c r="AI67" s="259"/>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59"/>
      <c r="CE67" s="59"/>
      <c r="CF67" s="59"/>
      <c r="CG67" s="59"/>
      <c r="CH67" s="59"/>
      <c r="CI67" s="59"/>
      <c r="CJ67" s="59"/>
      <c r="CK67" s="233"/>
      <c r="CL67" s="118"/>
      <c r="CM67" s="118"/>
      <c r="CN67" s="118"/>
      <c r="CO67" s="118"/>
    </row>
    <row r="68" spans="1:94" s="38" customFormat="1" ht="14" hidden="1" x14ac:dyDescent="0.3">
      <c r="A68" s="37"/>
      <c r="B68" s="37"/>
      <c r="C68" s="252" t="s">
        <v>57</v>
      </c>
      <c r="D68" s="253" t="str">
        <f>'Paramètres et Résultats'!$G$46</f>
        <v>Personnalisé</v>
      </c>
      <c r="E68" s="319"/>
      <c r="F68" s="319"/>
      <c r="G68" s="319"/>
      <c r="H68" s="319"/>
      <c r="I68" s="319"/>
      <c r="J68" s="319"/>
      <c r="K68" s="319"/>
      <c r="L68" s="319"/>
      <c r="M68" s="319"/>
      <c r="N68" s="319"/>
      <c r="O68" s="319"/>
      <c r="P68" s="254">
        <f ca="1">SUMPRODUCT(($C68='Scénarios prix énergie'!$B$151:$B$173)*($D68='Scénarios prix énergie'!$C$151:$C$173)*('Scénarios prix énergie'!D$151:D$173))</f>
        <v>83.7</v>
      </c>
      <c r="Q68" s="255">
        <f ca="1">SUMPRODUCT(($C68='Scénarios prix énergie'!$B$151:$B$173)*($D68='Scénarios prix énergie'!$C$151:$C$173)*('Scénarios prix énergie'!E$151:E$173))</f>
        <v>87.885000000000005</v>
      </c>
      <c r="R68" s="255">
        <f ca="1">SUMPRODUCT(($C68='Scénarios prix énergie'!$B$151:$B$173)*($D68='Scénarios prix énergie'!$C$151:$C$173)*('Scénarios prix énergie'!F$151:F$173))</f>
        <v>92.279250000000005</v>
      </c>
      <c r="S68" s="255">
        <f ca="1">SUMPRODUCT(($C68='Scénarios prix énergie'!$B$151:$B$173)*($D68='Scénarios prix énergie'!$C$151:$C$173)*('Scénarios prix énergie'!G$151:G$173))</f>
        <v>96.893212500000004</v>
      </c>
      <c r="T68" s="255">
        <f ca="1">SUMPRODUCT(($C68='Scénarios prix énergie'!$B$151:$B$173)*($D68='Scénarios prix énergie'!$C$151:$C$173)*('Scénarios prix énergie'!H$151:H$173))</f>
        <v>101.73787312500001</v>
      </c>
      <c r="U68" s="255">
        <f ca="1">SUMPRODUCT(($C68='Scénarios prix énergie'!$B$151:$B$173)*($D68='Scénarios prix énergie'!$C$151:$C$173)*('Scénarios prix énergie'!I$151:I$173))</f>
        <v>106.82476678125001</v>
      </c>
      <c r="V68" s="255">
        <f ca="1">SUMPRODUCT(($C68='Scénarios prix énergie'!$B$151:$B$173)*($D68='Scénarios prix énergie'!$C$151:$C$173)*('Scénarios prix énergie'!J$151:J$173))</f>
        <v>112.16600512031251</v>
      </c>
      <c r="W68" s="255">
        <f ca="1">SUMPRODUCT(($C68='Scénarios prix énergie'!$B$151:$B$173)*($D68='Scénarios prix énergie'!$C$151:$C$173)*('Scénarios prix énergie'!K$151:K$173))</f>
        <v>117.77430537632813</v>
      </c>
      <c r="X68" s="255">
        <f ca="1">SUMPRODUCT(($C68='Scénarios prix énergie'!$B$151:$B$173)*($D68='Scénarios prix énergie'!$C$151:$C$173)*('Scénarios prix énergie'!L$151:L$173))</f>
        <v>123.66302064514454</v>
      </c>
      <c r="Y68" s="255">
        <f ca="1">SUMPRODUCT(($C68='Scénarios prix énergie'!$B$151:$B$173)*($D68='Scénarios prix énergie'!$C$151:$C$173)*('Scénarios prix énergie'!M$151:M$173))</f>
        <v>129.84617167740177</v>
      </c>
      <c r="Z68" s="255">
        <f ca="1">SUMPRODUCT(($C68='Scénarios prix énergie'!$B$151:$B$173)*($D68='Scénarios prix énergie'!$C$151:$C$173)*('Scénarios prix énergie'!N$151:N$173))</f>
        <v>136.33848026127185</v>
      </c>
      <c r="AA68" s="255">
        <f ca="1">SUMPRODUCT(($C68='Scénarios prix énergie'!$B$151:$B$173)*($D68='Scénarios prix énergie'!$C$151:$C$173)*('Scénarios prix énergie'!O$151:O$173))</f>
        <v>143.15540427433547</v>
      </c>
      <c r="AB68" s="255">
        <f ca="1">SUMPRODUCT(($C68='Scénarios prix énergie'!$B$151:$B$173)*($D68='Scénarios prix énergie'!$C$151:$C$173)*('Scénarios prix énergie'!P$151:P$173))</f>
        <v>150.31317448805225</v>
      </c>
      <c r="AC68" s="255">
        <f ca="1">SUMPRODUCT(($C68='Scénarios prix énergie'!$B$151:$B$173)*($D68='Scénarios prix énergie'!$C$151:$C$173)*('Scénarios prix énergie'!Q$151:Q$173))</f>
        <v>157.82883321245487</v>
      </c>
      <c r="AD68" s="255">
        <f ca="1">SUMPRODUCT(($C68='Scénarios prix énergie'!$B$151:$B$173)*($D68='Scénarios prix énergie'!$C$151:$C$173)*('Scénarios prix énergie'!R$151:R$173))</f>
        <v>165.72027487307761</v>
      </c>
      <c r="AE68" s="255">
        <f ca="1">SUMPRODUCT(($C68='Scénarios prix énergie'!$B$151:$B$173)*($D68='Scénarios prix énergie'!$C$151:$C$173)*('Scénarios prix énergie'!S$151:S$173))</f>
        <v>174.0062886167315</v>
      </c>
      <c r="AF68" s="255">
        <f ca="1">SUMPRODUCT(($C68='Scénarios prix énergie'!$B$151:$B$173)*($D68='Scénarios prix énergie'!$C$151:$C$173)*('Scénarios prix énergie'!T$151:T$173))</f>
        <v>182.70660304756808</v>
      </c>
      <c r="AG68" s="255">
        <f ca="1">SUMPRODUCT(($C68='Scénarios prix énergie'!$B$151:$B$173)*($D68='Scénarios prix énergie'!$C$151:$C$173)*('Scénarios prix énergie'!U$151:U$173))</f>
        <v>191.84193319994648</v>
      </c>
      <c r="AH68" s="255">
        <f ca="1">SUMPRODUCT(($C68='Scénarios prix énergie'!$B$151:$B$173)*($D68='Scénarios prix énergie'!$C$151:$C$173)*('Scénarios prix énergie'!V$151:V$173))</f>
        <v>201.43402985994382</v>
      </c>
      <c r="AI68" s="255">
        <f ca="1">SUMPRODUCT(($C68='Scénarios prix énergie'!$B$151:$B$173)*($D68='Scénarios prix énergie'!$C$151:$C$173)*('Scénarios prix énergie'!W$151:W$173))</f>
        <v>211.50573135294101</v>
      </c>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59"/>
      <c r="CE68" s="59"/>
      <c r="CF68" s="59"/>
      <c r="CG68" s="59"/>
      <c r="CH68" s="59"/>
      <c r="CI68" s="59"/>
      <c r="CJ68" s="59"/>
      <c r="CK68" s="59"/>
      <c r="CL68" s="233"/>
      <c r="CM68" s="118"/>
      <c r="CN68" s="118"/>
      <c r="CO68" s="118"/>
      <c r="CP68" s="118"/>
    </row>
    <row r="69" spans="1:94" s="38" customFormat="1" ht="14" hidden="1" x14ac:dyDescent="0.3">
      <c r="A69" s="37"/>
      <c r="B69" s="37"/>
      <c r="C69" s="249" t="s">
        <v>58</v>
      </c>
      <c r="D69" s="251" t="str">
        <f>'Paramètres et Résultats'!$G$46</f>
        <v>Personnalisé</v>
      </c>
      <c r="E69" s="234"/>
      <c r="F69" s="234"/>
      <c r="G69" s="234"/>
      <c r="H69" s="234"/>
      <c r="I69" s="234"/>
      <c r="J69" s="234"/>
      <c r="K69" s="234"/>
      <c r="L69" s="234"/>
      <c r="M69" s="234"/>
      <c r="N69" s="234"/>
      <c r="O69" s="234"/>
      <c r="P69" s="256">
        <f ca="1">SUMPRODUCT(($C69='Scénarios prix énergie'!$B$151:$B$173)*($D69='Scénarios prix énergie'!$C$151:$C$173)*('Scénarios prix énergie'!D$151:D$173))</f>
        <v>40.888888888888886</v>
      </c>
      <c r="Q69" s="213">
        <f ca="1">SUMPRODUCT(($C69='Scénarios prix énergie'!$B$151:$B$173)*($D69='Scénarios prix énergie'!$C$151:$C$173)*('Scénarios prix énergie'!E$151:E$173))</f>
        <v>42.93333333333333</v>
      </c>
      <c r="R69" s="213">
        <f ca="1">SUMPRODUCT(($C69='Scénarios prix énergie'!$B$151:$B$173)*($D69='Scénarios prix énergie'!$C$151:$C$173)*('Scénarios prix énergie'!F$151:F$173))</f>
        <v>45.08</v>
      </c>
      <c r="S69" s="213">
        <f ca="1">SUMPRODUCT(($C69='Scénarios prix énergie'!$B$151:$B$173)*($D69='Scénarios prix énergie'!$C$151:$C$173)*('Scénarios prix énergie'!G$151:G$173))</f>
        <v>47.334000000000003</v>
      </c>
      <c r="T69" s="213">
        <f ca="1">SUMPRODUCT(($C69='Scénarios prix énergie'!$B$151:$B$173)*($D69='Scénarios prix énergie'!$C$151:$C$173)*('Scénarios prix énergie'!H$151:H$173))</f>
        <v>49.700700000000005</v>
      </c>
      <c r="U69" s="213">
        <f ca="1">SUMPRODUCT(($C69='Scénarios prix énergie'!$B$151:$B$173)*($D69='Scénarios prix énergie'!$C$151:$C$173)*('Scénarios prix énergie'!I$151:I$173))</f>
        <v>52.185735000000008</v>
      </c>
      <c r="V69" s="213">
        <f ca="1">SUMPRODUCT(($C69='Scénarios prix énergie'!$B$151:$B$173)*($D69='Scénarios prix énergie'!$C$151:$C$173)*('Scénarios prix énergie'!J$151:J$173))</f>
        <v>54.795021750000011</v>
      </c>
      <c r="W69" s="213">
        <f ca="1">SUMPRODUCT(($C69='Scénarios prix énergie'!$B$151:$B$173)*($D69='Scénarios prix énergie'!$C$151:$C$173)*('Scénarios prix énergie'!K$151:K$173))</f>
        <v>57.534772837500014</v>
      </c>
      <c r="X69" s="213">
        <f ca="1">SUMPRODUCT(($C69='Scénarios prix énergie'!$B$151:$B$173)*($D69='Scénarios prix énergie'!$C$151:$C$173)*('Scénarios prix énergie'!L$151:L$173))</f>
        <v>60.411511479375015</v>
      </c>
      <c r="Y69" s="213">
        <f ca="1">SUMPRODUCT(($C69='Scénarios prix énergie'!$B$151:$B$173)*($D69='Scénarios prix énergie'!$C$151:$C$173)*('Scénarios prix énergie'!M$151:M$173))</f>
        <v>63.432087053343771</v>
      </c>
      <c r="Z69" s="213">
        <f ca="1">SUMPRODUCT(($C69='Scénarios prix énergie'!$B$151:$B$173)*($D69='Scénarios prix énergie'!$C$151:$C$173)*('Scénarios prix énergie'!N$151:N$173))</f>
        <v>66.603691406010967</v>
      </c>
      <c r="AA69" s="213">
        <f ca="1">SUMPRODUCT(($C69='Scénarios prix énergie'!$B$151:$B$173)*($D69='Scénarios prix énergie'!$C$151:$C$173)*('Scénarios prix énergie'!O$151:O$173))</f>
        <v>69.933875976311512</v>
      </c>
      <c r="AB69" s="213">
        <f ca="1">SUMPRODUCT(($C69='Scénarios prix énergie'!$B$151:$B$173)*($D69='Scénarios prix énergie'!$C$151:$C$173)*('Scénarios prix énergie'!P$151:P$173))</f>
        <v>73.430569775127097</v>
      </c>
      <c r="AC69" s="213">
        <f ca="1">SUMPRODUCT(($C69='Scénarios prix énergie'!$B$151:$B$173)*($D69='Scénarios prix énergie'!$C$151:$C$173)*('Scénarios prix énergie'!Q$151:Q$173))</f>
        <v>77.102098263883448</v>
      </c>
      <c r="AD69" s="213">
        <f ca="1">SUMPRODUCT(($C69='Scénarios prix énergie'!$B$151:$B$173)*($D69='Scénarios prix énergie'!$C$151:$C$173)*('Scénarios prix énergie'!R$151:R$173))</f>
        <v>80.957203177077631</v>
      </c>
      <c r="AE69" s="213">
        <f ca="1">SUMPRODUCT(($C69='Scénarios prix énergie'!$B$151:$B$173)*($D69='Scénarios prix énergie'!$C$151:$C$173)*('Scénarios prix énergie'!S$151:S$173))</f>
        <v>85.00506333593151</v>
      </c>
      <c r="AF69" s="213">
        <f ca="1">SUMPRODUCT(($C69='Scénarios prix énergie'!$B$151:$B$173)*($D69='Scénarios prix énergie'!$C$151:$C$173)*('Scénarios prix énergie'!T$151:T$173))</f>
        <v>89.255316502728093</v>
      </c>
      <c r="AG69" s="213">
        <f ca="1">SUMPRODUCT(($C69='Scénarios prix énergie'!$B$151:$B$173)*($D69='Scénarios prix énergie'!$C$151:$C$173)*('Scénarios prix énergie'!U$151:U$173))</f>
        <v>93.718082327864508</v>
      </c>
      <c r="AH69" s="213">
        <f ca="1">SUMPRODUCT(($C69='Scénarios prix énergie'!$B$151:$B$173)*($D69='Scénarios prix énergie'!$C$151:$C$173)*('Scénarios prix énergie'!V$151:V$173))</f>
        <v>98.40398644425774</v>
      </c>
      <c r="AI69" s="213">
        <f ca="1">SUMPRODUCT(($C69='Scénarios prix énergie'!$B$151:$B$173)*($D69='Scénarios prix énergie'!$C$151:$C$173)*('Scénarios prix énergie'!W$151:W$173))</f>
        <v>103.32418576647063</v>
      </c>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59"/>
      <c r="CE69" s="59"/>
      <c r="CF69" s="59"/>
      <c r="CG69" s="59"/>
      <c r="CH69" s="59"/>
      <c r="CI69" s="59"/>
      <c r="CJ69" s="59"/>
      <c r="CK69" s="59"/>
      <c r="CL69" s="233"/>
      <c r="CM69" s="118"/>
      <c r="CN69" s="118"/>
      <c r="CO69" s="118"/>
      <c r="CP69" s="118"/>
    </row>
    <row r="70" spans="1:94" s="38" customFormat="1" ht="14" hidden="1" x14ac:dyDescent="0.3">
      <c r="A70" s="37"/>
      <c r="B70" s="37"/>
      <c r="C70" s="249" t="s">
        <v>15</v>
      </c>
      <c r="D70" s="251" t="str">
        <f>'Paramètres et Résultats'!$G$46</f>
        <v>Personnalisé</v>
      </c>
      <c r="E70" s="234"/>
      <c r="F70" s="234"/>
      <c r="G70" s="234"/>
      <c r="H70" s="234"/>
      <c r="I70" s="234"/>
      <c r="J70" s="234"/>
      <c r="K70" s="234"/>
      <c r="L70" s="234"/>
      <c r="M70" s="234"/>
      <c r="N70" s="234"/>
      <c r="O70" s="234"/>
      <c r="P70" s="256">
        <f ca="1">SUMPRODUCT(($C70='Scénarios prix énergie'!$B$151:$B$173)*($D70='Scénarios prix énergie'!$C$151:$C$173)*('Scénarios prix énergie'!D$151:D$173))</f>
        <v>27.000270002700024</v>
      </c>
      <c r="Q70" s="213">
        <f ca="1">SUMPRODUCT(($C70='Scénarios prix énergie'!$B$151:$B$173)*($D70='Scénarios prix énergie'!$C$151:$C$173)*('Scénarios prix énergie'!E$151:E$173))</f>
        <v>28.350283502835026</v>
      </c>
      <c r="R70" s="213">
        <f ca="1">SUMPRODUCT(($C70='Scénarios prix énergie'!$B$151:$B$173)*($D70='Scénarios prix énergie'!$C$151:$C$173)*('Scénarios prix énergie'!F$151:F$173))</f>
        <v>29.76779767797678</v>
      </c>
      <c r="S70" s="213">
        <f ca="1">SUMPRODUCT(($C70='Scénarios prix énergie'!$B$151:$B$173)*($D70='Scénarios prix énergie'!$C$151:$C$173)*('Scénarios prix énergie'!G$151:G$173))</f>
        <v>31.25618756187562</v>
      </c>
      <c r="T70" s="213">
        <f ca="1">SUMPRODUCT(($C70='Scénarios prix énergie'!$B$151:$B$173)*($D70='Scénarios prix énergie'!$C$151:$C$173)*('Scénarios prix énergie'!H$151:H$173))</f>
        <v>32.818996939969402</v>
      </c>
      <c r="U70" s="213">
        <f ca="1">SUMPRODUCT(($C70='Scénarios prix énergie'!$B$151:$B$173)*($D70='Scénarios prix énergie'!$C$151:$C$173)*('Scénarios prix énergie'!I$151:I$173))</f>
        <v>34.459946786967876</v>
      </c>
      <c r="V70" s="213">
        <f ca="1">SUMPRODUCT(($C70='Scénarios prix énergie'!$B$151:$B$173)*($D70='Scénarios prix énergie'!$C$151:$C$173)*('Scénarios prix énergie'!J$151:J$173))</f>
        <v>36.182944126316272</v>
      </c>
      <c r="W70" s="213">
        <f ca="1">SUMPRODUCT(($C70='Scénarios prix énergie'!$B$151:$B$173)*($D70='Scénarios prix énergie'!$C$151:$C$173)*('Scénarios prix énergie'!K$151:K$173))</f>
        <v>37.992091332632086</v>
      </c>
      <c r="X70" s="213">
        <f ca="1">SUMPRODUCT(($C70='Scénarios prix énergie'!$B$151:$B$173)*($D70='Scénarios prix énergie'!$C$151:$C$173)*('Scénarios prix énergie'!L$151:L$173))</f>
        <v>39.891695899263695</v>
      </c>
      <c r="Y70" s="213">
        <f ca="1">SUMPRODUCT(($C70='Scénarios prix énergie'!$B$151:$B$173)*($D70='Scénarios prix énergie'!$C$151:$C$173)*('Scénarios prix énergie'!M$151:M$173))</f>
        <v>41.886280694226883</v>
      </c>
      <c r="Z70" s="213">
        <f ca="1">SUMPRODUCT(($C70='Scénarios prix énergie'!$B$151:$B$173)*($D70='Scénarios prix énergie'!$C$151:$C$173)*('Scénarios prix énergie'!N$151:N$173))</f>
        <v>43.980594728938229</v>
      </c>
      <c r="AA70" s="213">
        <f ca="1">SUMPRODUCT(($C70='Scénarios prix énergie'!$B$151:$B$173)*($D70='Scénarios prix énergie'!$C$151:$C$173)*('Scénarios prix énergie'!O$151:O$173))</f>
        <v>46.179624465385139</v>
      </c>
      <c r="AB70" s="213">
        <f ca="1">SUMPRODUCT(($C70='Scénarios prix énergie'!$B$151:$B$173)*($D70='Scénarios prix énergie'!$C$151:$C$173)*('Scénarios prix énergie'!P$151:P$173))</f>
        <v>48.488605688654395</v>
      </c>
      <c r="AC70" s="213">
        <f ca="1">SUMPRODUCT(($C70='Scénarios prix énergie'!$B$151:$B$173)*($D70='Scénarios prix énergie'!$C$151:$C$173)*('Scénarios prix énergie'!Q$151:Q$173))</f>
        <v>50.913035973087119</v>
      </c>
      <c r="AD70" s="213">
        <f ca="1">SUMPRODUCT(($C70='Scénarios prix énergie'!$B$151:$B$173)*($D70='Scénarios prix énergie'!$C$151:$C$173)*('Scénarios prix énergie'!R$151:R$173))</f>
        <v>53.458687771741481</v>
      </c>
      <c r="AE70" s="213">
        <f ca="1">SUMPRODUCT(($C70='Scénarios prix énergie'!$B$151:$B$173)*($D70='Scénarios prix énergie'!$C$151:$C$173)*('Scénarios prix énergie'!S$151:S$173))</f>
        <v>56.131622160328554</v>
      </c>
      <c r="AF70" s="213">
        <f ca="1">SUMPRODUCT(($C70='Scénarios prix énergie'!$B$151:$B$173)*($D70='Scénarios prix énergie'!$C$151:$C$173)*('Scénarios prix énergie'!T$151:T$173))</f>
        <v>58.938203268344985</v>
      </c>
      <c r="AG70" s="213">
        <f ca="1">SUMPRODUCT(($C70='Scénarios prix énergie'!$B$151:$B$173)*($D70='Scénarios prix énergie'!$C$151:$C$173)*('Scénarios prix énergie'!U$151:U$173))</f>
        <v>61.885113431762235</v>
      </c>
      <c r="AH70" s="213">
        <f ca="1">SUMPRODUCT(($C70='Scénarios prix énergie'!$B$151:$B$173)*($D70='Scénarios prix énergie'!$C$151:$C$173)*('Scénarios prix énergie'!V$151:V$173))</f>
        <v>64.979369103350351</v>
      </c>
      <c r="AI70" s="213">
        <f ca="1">SUMPRODUCT(($C70='Scénarios prix énergie'!$B$151:$B$173)*($D70='Scénarios prix énergie'!$C$151:$C$173)*('Scénarios prix énergie'!W$151:W$173))</f>
        <v>68.228337558517865</v>
      </c>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59"/>
      <c r="CE70" s="59"/>
      <c r="CF70" s="59"/>
      <c r="CG70" s="59"/>
      <c r="CH70" s="59"/>
      <c r="CI70" s="59"/>
      <c r="CJ70" s="59"/>
      <c r="CK70" s="59"/>
      <c r="CL70" s="233"/>
      <c r="CM70" s="118"/>
      <c r="CN70" s="118"/>
      <c r="CO70" s="118"/>
      <c r="CP70" s="118"/>
    </row>
    <row r="71" spans="1:94" s="38" customFormat="1" ht="14" hidden="1" x14ac:dyDescent="0.3">
      <c r="A71" s="37"/>
      <c r="B71" s="37"/>
      <c r="C71" s="249" t="s">
        <v>128</v>
      </c>
      <c r="D71" s="251" t="str">
        <f>'Paramètres et Résultats'!$G$46</f>
        <v>Personnalisé</v>
      </c>
      <c r="E71" s="234"/>
      <c r="F71" s="234"/>
      <c r="G71" s="234"/>
      <c r="H71" s="234"/>
      <c r="I71" s="234"/>
      <c r="J71" s="234"/>
      <c r="K71" s="234"/>
      <c r="L71" s="234"/>
      <c r="M71" s="234"/>
      <c r="N71" s="234"/>
      <c r="O71" s="234"/>
      <c r="P71" s="256">
        <f ca="1">SUMPRODUCT(($C71='Scénarios prix énergie'!$B$151:$B$173)*($D71='Scénarios prix énergie'!$C$151:$C$173)*('Scénarios prix énergie'!D$151:D$173))</f>
        <v>47.300000000000004</v>
      </c>
      <c r="Q71" s="213">
        <f ca="1">SUMPRODUCT(($C71='Scénarios prix énergie'!$B$151:$B$173)*($D71='Scénarios prix énergie'!$C$151:$C$173)*('Scénarios prix énergie'!E$151:E$173))</f>
        <v>49.665000000000006</v>
      </c>
      <c r="R71" s="213">
        <f ca="1">SUMPRODUCT(($C71='Scénarios prix énergie'!$B$151:$B$173)*($D71='Scénarios prix énergie'!$C$151:$C$173)*('Scénarios prix énergie'!F$151:F$173))</f>
        <v>52.148250000000012</v>
      </c>
      <c r="S71" s="213">
        <f ca="1">SUMPRODUCT(($C71='Scénarios prix énergie'!$B$151:$B$173)*($D71='Scénarios prix énergie'!$C$151:$C$173)*('Scénarios prix énergie'!G$151:G$173))</f>
        <v>54.755662500000014</v>
      </c>
      <c r="T71" s="213">
        <f ca="1">SUMPRODUCT(($C71='Scénarios prix énergie'!$B$151:$B$173)*($D71='Scénarios prix énergie'!$C$151:$C$173)*('Scénarios prix énergie'!H$151:H$173))</f>
        <v>57.493445625000014</v>
      </c>
      <c r="U71" s="213">
        <f ca="1">SUMPRODUCT(($C71='Scénarios prix énergie'!$B$151:$B$173)*($D71='Scénarios prix énergie'!$C$151:$C$173)*('Scénarios prix énergie'!I$151:I$173))</f>
        <v>60.368117906250021</v>
      </c>
      <c r="V71" s="213">
        <f ca="1">SUMPRODUCT(($C71='Scénarios prix énergie'!$B$151:$B$173)*($D71='Scénarios prix énergie'!$C$151:$C$173)*('Scénarios prix énergie'!J$151:J$173))</f>
        <v>63.386523801562525</v>
      </c>
      <c r="W71" s="213">
        <f ca="1">SUMPRODUCT(($C71='Scénarios prix énergie'!$B$151:$B$173)*($D71='Scénarios prix énergie'!$C$151:$C$173)*('Scénarios prix énergie'!K$151:K$173))</f>
        <v>66.555849991640656</v>
      </c>
      <c r="X71" s="213">
        <f ca="1">SUMPRODUCT(($C71='Scénarios prix énergie'!$B$151:$B$173)*($D71='Scénarios prix énergie'!$C$151:$C$173)*('Scénarios prix énergie'!L$151:L$173))</f>
        <v>69.883642491222687</v>
      </c>
      <c r="Y71" s="213">
        <f ca="1">SUMPRODUCT(($C71='Scénarios prix énergie'!$B$151:$B$173)*($D71='Scénarios prix énergie'!$C$151:$C$173)*('Scénarios prix énergie'!M$151:M$173))</f>
        <v>73.377824615783823</v>
      </c>
      <c r="Z71" s="213">
        <f ca="1">SUMPRODUCT(($C71='Scénarios prix énergie'!$B$151:$B$173)*($D71='Scénarios prix énergie'!$C$151:$C$173)*('Scénarios prix énergie'!N$151:N$173))</f>
        <v>77.046715846573022</v>
      </c>
      <c r="AA71" s="213">
        <f ca="1">SUMPRODUCT(($C71='Scénarios prix énergie'!$B$151:$B$173)*($D71='Scénarios prix énergie'!$C$151:$C$173)*('Scénarios prix énergie'!O$151:O$173))</f>
        <v>80.899051638901682</v>
      </c>
      <c r="AB71" s="213">
        <f ca="1">SUMPRODUCT(($C71='Scénarios prix énergie'!$B$151:$B$173)*($D71='Scénarios prix énergie'!$C$151:$C$173)*('Scénarios prix énergie'!P$151:P$173))</f>
        <v>84.944004220846764</v>
      </c>
      <c r="AC71" s="213">
        <f ca="1">SUMPRODUCT(($C71='Scénarios prix énergie'!$B$151:$B$173)*($D71='Scénarios prix énergie'!$C$151:$C$173)*('Scénarios prix énergie'!Q$151:Q$173))</f>
        <v>89.191204431889105</v>
      </c>
      <c r="AD71" s="213">
        <f ca="1">SUMPRODUCT(($C71='Scénarios prix énergie'!$B$151:$B$173)*($D71='Scénarios prix énergie'!$C$151:$C$173)*('Scénarios prix énergie'!R$151:R$173))</f>
        <v>93.650764653483563</v>
      </c>
      <c r="AE71" s="213">
        <f ca="1">SUMPRODUCT(($C71='Scénarios prix énergie'!$B$151:$B$173)*($D71='Scénarios prix énergie'!$C$151:$C$173)*('Scénarios prix énergie'!S$151:S$173))</f>
        <v>98.333302886157739</v>
      </c>
      <c r="AF71" s="213">
        <f ca="1">SUMPRODUCT(($C71='Scénarios prix énergie'!$B$151:$B$173)*($D71='Scénarios prix énergie'!$C$151:$C$173)*('Scénarios prix énergie'!T$151:T$173))</f>
        <v>103.24996803046562</v>
      </c>
      <c r="AG71" s="213">
        <f ca="1">SUMPRODUCT(($C71='Scénarios prix énergie'!$B$151:$B$173)*($D71='Scénarios prix énergie'!$C$151:$C$173)*('Scénarios prix énergie'!U$151:U$173))</f>
        <v>108.4124664319889</v>
      </c>
      <c r="AH71" s="213">
        <f ca="1">SUMPRODUCT(($C71='Scénarios prix énergie'!$B$151:$B$173)*($D71='Scénarios prix énergie'!$C$151:$C$173)*('Scénarios prix énergie'!V$151:V$173))</f>
        <v>113.83308975358835</v>
      </c>
      <c r="AI71" s="213">
        <f ca="1">SUMPRODUCT(($C71='Scénarios prix énergie'!$B$151:$B$173)*($D71='Scénarios prix énergie'!$C$151:$C$173)*('Scénarios prix énergie'!W$151:W$173))</f>
        <v>119.52474424126778</v>
      </c>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59"/>
      <c r="CE71" s="59"/>
      <c r="CF71" s="59"/>
      <c r="CG71" s="59"/>
      <c r="CH71" s="59"/>
      <c r="CI71" s="59"/>
      <c r="CJ71" s="59"/>
      <c r="CK71" s="59"/>
      <c r="CL71" s="233"/>
      <c r="CM71" s="118"/>
      <c r="CN71" s="118"/>
      <c r="CO71" s="118"/>
      <c r="CP71" s="118"/>
    </row>
    <row r="72" spans="1:94" s="38" customFormat="1" ht="14" hidden="1" x14ac:dyDescent="0.3">
      <c r="A72" s="37"/>
      <c r="B72" s="37"/>
      <c r="C72" s="249" t="s">
        <v>18</v>
      </c>
      <c r="D72" s="251" t="str">
        <f>'Paramètres et Résultats'!$G$46</f>
        <v>Personnalisé</v>
      </c>
      <c r="E72" s="234"/>
      <c r="F72" s="234"/>
      <c r="G72" s="234"/>
      <c r="H72" s="234"/>
      <c r="I72" s="234"/>
      <c r="J72" s="234"/>
      <c r="K72" s="234"/>
      <c r="L72" s="234"/>
      <c r="M72" s="234"/>
      <c r="N72" s="234"/>
      <c r="O72" s="234"/>
      <c r="P72" s="256">
        <f ca="1">SUMPRODUCT(($C72='Scénarios prix énergie'!$B$151:$B$173)*($D72='Scénarios prix énergie'!$C$151:$C$173)*('Scénarios prix énergie'!D$151:D$173))</f>
        <v>95.311626666875682</v>
      </c>
      <c r="Q72" s="213">
        <f ca="1">SUMPRODUCT(($C72='Scénarios prix énergie'!$B$151:$B$173)*($D72='Scénarios prix énergie'!$C$151:$C$173)*('Scénarios prix énergie'!E$151:E$173))</f>
        <v>100.07720800021947</v>
      </c>
      <c r="R72" s="213">
        <f ca="1">SUMPRODUCT(($C72='Scénarios prix énergie'!$B$151:$B$173)*($D72='Scénarios prix énergie'!$C$151:$C$173)*('Scénarios prix énergie'!F$151:F$173))</f>
        <v>105.08106840023045</v>
      </c>
      <c r="S72" s="213">
        <f ca="1">SUMPRODUCT(($C72='Scénarios prix énergie'!$B$151:$B$173)*($D72='Scénarios prix énergie'!$C$151:$C$173)*('Scénarios prix énergie'!G$151:G$173))</f>
        <v>110.33512182024198</v>
      </c>
      <c r="T72" s="213">
        <f ca="1">SUMPRODUCT(($C72='Scénarios prix énergie'!$B$151:$B$173)*($D72='Scénarios prix énergie'!$C$151:$C$173)*('Scénarios prix énergie'!H$151:H$173))</f>
        <v>115.85187791125408</v>
      </c>
      <c r="U72" s="213">
        <f ca="1">SUMPRODUCT(($C72='Scénarios prix énergie'!$B$151:$B$173)*($D72='Scénarios prix énergie'!$C$151:$C$173)*('Scénarios prix énergie'!I$151:I$173))</f>
        <v>121.64447180681678</v>
      </c>
      <c r="V72" s="213">
        <f ca="1">SUMPRODUCT(($C72='Scénarios prix énergie'!$B$151:$B$173)*($D72='Scénarios prix énergie'!$C$151:$C$173)*('Scénarios prix énergie'!J$151:J$173))</f>
        <v>127.72669539715763</v>
      </c>
      <c r="W72" s="213">
        <f ca="1">SUMPRODUCT(($C72='Scénarios prix énergie'!$B$151:$B$173)*($D72='Scénarios prix énergie'!$C$151:$C$173)*('Scénarios prix énergie'!K$151:K$173))</f>
        <v>134.11303016701552</v>
      </c>
      <c r="X72" s="213">
        <f ca="1">SUMPRODUCT(($C72='Scénarios prix énergie'!$B$151:$B$173)*($D72='Scénarios prix énergie'!$C$151:$C$173)*('Scénarios prix énergie'!L$151:L$173))</f>
        <v>140.81868167536629</v>
      </c>
      <c r="Y72" s="213">
        <f ca="1">SUMPRODUCT(($C72='Scénarios prix énergie'!$B$151:$B$173)*($D72='Scénarios prix énergie'!$C$151:$C$173)*('Scénarios prix énergie'!M$151:M$173))</f>
        <v>147.85961575913461</v>
      </c>
      <c r="Z72" s="213">
        <f ca="1">SUMPRODUCT(($C72='Scénarios prix énergie'!$B$151:$B$173)*($D72='Scénarios prix énergie'!$C$151:$C$173)*('Scénarios prix énergie'!N$151:N$173))</f>
        <v>155.25259654709134</v>
      </c>
      <c r="AA72" s="213">
        <f ca="1">SUMPRODUCT(($C72='Scénarios prix énergie'!$B$151:$B$173)*($D72='Scénarios prix énergie'!$C$151:$C$173)*('Scénarios prix énergie'!O$151:O$173))</f>
        <v>163.01522637444592</v>
      </c>
      <c r="AB72" s="213">
        <f ca="1">SUMPRODUCT(($C72='Scénarios prix énergie'!$B$151:$B$173)*($D72='Scénarios prix énergie'!$C$151:$C$173)*('Scénarios prix énergie'!P$151:P$173))</f>
        <v>171.16598769316823</v>
      </c>
      <c r="AC72" s="213">
        <f ca="1">SUMPRODUCT(($C72='Scénarios prix énergie'!$B$151:$B$173)*($D72='Scénarios prix énergie'!$C$151:$C$173)*('Scénarios prix énergie'!Q$151:Q$173))</f>
        <v>179.72428707782666</v>
      </c>
      <c r="AD72" s="213">
        <f ca="1">SUMPRODUCT(($C72='Scénarios prix énergie'!$B$151:$B$173)*($D72='Scénarios prix énergie'!$C$151:$C$173)*('Scénarios prix énergie'!R$151:R$173))</f>
        <v>188.710501431718</v>
      </c>
      <c r="AE72" s="213">
        <f ca="1">SUMPRODUCT(($C72='Scénarios prix énergie'!$B$151:$B$173)*($D72='Scénarios prix énergie'!$C$151:$C$173)*('Scénarios prix énergie'!S$151:S$173))</f>
        <v>198.14602650330391</v>
      </c>
      <c r="AF72" s="213">
        <f ca="1">SUMPRODUCT(($C72='Scénarios prix énergie'!$B$151:$B$173)*($D72='Scénarios prix énergie'!$C$151:$C$173)*('Scénarios prix énergie'!T$151:T$173))</f>
        <v>208.05332782846912</v>
      </c>
      <c r="AG72" s="213">
        <f ca="1">SUMPRODUCT(($C72='Scénarios prix énergie'!$B$151:$B$173)*($D72='Scénarios prix énergie'!$C$151:$C$173)*('Scénarios prix énergie'!U$151:U$173))</f>
        <v>218.45599421989257</v>
      </c>
      <c r="AH72" s="213">
        <f ca="1">SUMPRODUCT(($C72='Scénarios prix énergie'!$B$151:$B$173)*($D72='Scénarios prix énergie'!$C$151:$C$173)*('Scénarios prix énergie'!V$151:V$173))</f>
        <v>229.37879393088721</v>
      </c>
      <c r="AI72" s="213">
        <f ca="1">SUMPRODUCT(($C72='Scénarios prix énergie'!$B$151:$B$173)*($D72='Scénarios prix énergie'!$C$151:$C$173)*('Scénarios prix énergie'!W$151:W$173))</f>
        <v>240.84773362743158</v>
      </c>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59"/>
      <c r="CE72" s="59"/>
      <c r="CF72" s="59"/>
      <c r="CG72" s="59"/>
      <c r="CH72" s="59"/>
      <c r="CI72" s="59"/>
      <c r="CJ72" s="59"/>
      <c r="CK72" s="59"/>
      <c r="CL72" s="233"/>
      <c r="CM72" s="118"/>
      <c r="CN72" s="118"/>
      <c r="CO72" s="118"/>
      <c r="CP72" s="118"/>
    </row>
    <row r="73" spans="1:94" s="38" customFormat="1" ht="14" hidden="1" x14ac:dyDescent="0.3">
      <c r="A73" s="37"/>
      <c r="B73" s="37"/>
      <c r="C73" s="249" t="s">
        <v>129</v>
      </c>
      <c r="D73" s="251" t="str">
        <f>'Paramètres et Résultats'!$G$46</f>
        <v>Personnalisé</v>
      </c>
      <c r="E73" s="234"/>
      <c r="F73" s="234"/>
      <c r="G73" s="234"/>
      <c r="H73" s="234"/>
      <c r="I73" s="234"/>
      <c r="J73" s="234"/>
      <c r="K73" s="234"/>
      <c r="L73" s="234"/>
      <c r="M73" s="234"/>
      <c r="N73" s="234"/>
      <c r="O73" s="234"/>
      <c r="P73" s="256">
        <f ca="1">SUMPRODUCT(($C73='Scénarios prix énergie'!$B$151:$B$173)*($D73='Scénarios prix énergie'!$C$151:$C$173)*('Scénarios prix énergie'!D$151:D$173))</f>
        <v>17</v>
      </c>
      <c r="Q73" s="213">
        <f ca="1">SUMPRODUCT(($C73='Scénarios prix énergie'!$B$151:$B$173)*($D73='Scénarios prix énergie'!$C$151:$C$173)*('Scénarios prix énergie'!E$151:E$173))</f>
        <v>17.850000000000001</v>
      </c>
      <c r="R73" s="213">
        <f ca="1">SUMPRODUCT(($C73='Scénarios prix énergie'!$B$151:$B$173)*($D73='Scénarios prix énergie'!$C$151:$C$173)*('Scénarios prix énergie'!F$151:F$173))</f>
        <v>18.742500000000003</v>
      </c>
      <c r="S73" s="213">
        <f ca="1">SUMPRODUCT(($C73='Scénarios prix énergie'!$B$151:$B$173)*($D73='Scénarios prix énergie'!$C$151:$C$173)*('Scénarios prix énergie'!G$151:G$173))</f>
        <v>19.679625000000005</v>
      </c>
      <c r="T73" s="213">
        <f ca="1">SUMPRODUCT(($C73='Scénarios prix énergie'!$B$151:$B$173)*($D73='Scénarios prix énergie'!$C$151:$C$173)*('Scénarios prix énergie'!H$151:H$173))</f>
        <v>20.663606250000004</v>
      </c>
      <c r="U73" s="213">
        <f ca="1">SUMPRODUCT(($C73='Scénarios prix énergie'!$B$151:$B$173)*($D73='Scénarios prix énergie'!$C$151:$C$173)*('Scénarios prix énergie'!I$151:I$173))</f>
        <v>21.696786562500005</v>
      </c>
      <c r="V73" s="213">
        <f ca="1">SUMPRODUCT(($C73='Scénarios prix énergie'!$B$151:$B$173)*($D73='Scénarios prix énergie'!$C$151:$C$173)*('Scénarios prix énergie'!J$151:J$173))</f>
        <v>22.781625890625005</v>
      </c>
      <c r="W73" s="213">
        <f ca="1">SUMPRODUCT(($C73='Scénarios prix énergie'!$B$151:$B$173)*($D73='Scénarios prix énergie'!$C$151:$C$173)*('Scénarios prix énergie'!K$151:K$173))</f>
        <v>23.920707185156257</v>
      </c>
      <c r="X73" s="213">
        <f ca="1">SUMPRODUCT(($C73='Scénarios prix énergie'!$B$151:$B$173)*($D73='Scénarios prix énergie'!$C$151:$C$173)*('Scénarios prix énergie'!L$151:L$173))</f>
        <v>25.11674254441407</v>
      </c>
      <c r="Y73" s="213">
        <f ca="1">SUMPRODUCT(($C73='Scénarios prix énergie'!$B$151:$B$173)*($D73='Scénarios prix énergie'!$C$151:$C$173)*('Scénarios prix énergie'!M$151:M$173))</f>
        <v>26.372579671634774</v>
      </c>
      <c r="Z73" s="213">
        <f ca="1">SUMPRODUCT(($C73='Scénarios prix énergie'!$B$151:$B$173)*($D73='Scénarios prix énergie'!$C$151:$C$173)*('Scénarios prix énergie'!N$151:N$173))</f>
        <v>27.691208655216514</v>
      </c>
      <c r="AA73" s="213">
        <f ca="1">SUMPRODUCT(($C73='Scénarios prix énergie'!$B$151:$B$173)*($D73='Scénarios prix énergie'!$C$151:$C$173)*('Scénarios prix énergie'!O$151:O$173))</f>
        <v>29.075769087977342</v>
      </c>
      <c r="AB73" s="213">
        <f ca="1">SUMPRODUCT(($C73='Scénarios prix énergie'!$B$151:$B$173)*($D73='Scénarios prix énergie'!$C$151:$C$173)*('Scénarios prix énergie'!P$151:P$173))</f>
        <v>30.52955754237621</v>
      </c>
      <c r="AC73" s="213">
        <f ca="1">SUMPRODUCT(($C73='Scénarios prix énergie'!$B$151:$B$173)*($D73='Scénarios prix énergie'!$C$151:$C$173)*('Scénarios prix énergie'!Q$151:Q$173))</f>
        <v>32.056035419495025</v>
      </c>
      <c r="AD73" s="213">
        <f ca="1">SUMPRODUCT(($C73='Scénarios prix énergie'!$B$151:$B$173)*($D73='Scénarios prix énergie'!$C$151:$C$173)*('Scénarios prix énergie'!R$151:R$173))</f>
        <v>33.658837190469775</v>
      </c>
      <c r="AE73" s="213">
        <f ca="1">SUMPRODUCT(($C73='Scénarios prix énergie'!$B$151:$B$173)*($D73='Scénarios prix énergie'!$C$151:$C$173)*('Scénarios prix énergie'!S$151:S$173))</f>
        <v>35.341779049993264</v>
      </c>
      <c r="AF73" s="213">
        <f ca="1">SUMPRODUCT(($C73='Scénarios prix énergie'!$B$151:$B$173)*($D73='Scénarios prix énergie'!$C$151:$C$173)*('Scénarios prix énergie'!T$151:T$173))</f>
        <v>37.108868002492926</v>
      </c>
      <c r="AG73" s="213">
        <f ca="1">SUMPRODUCT(($C73='Scénarios prix énergie'!$B$151:$B$173)*($D73='Scénarios prix énergie'!$C$151:$C$173)*('Scénarios prix énergie'!U$151:U$173))</f>
        <v>38.964311402617575</v>
      </c>
      <c r="AH73" s="213">
        <f ca="1">SUMPRODUCT(($C73='Scénarios prix énergie'!$B$151:$B$173)*($D73='Scénarios prix énergie'!$C$151:$C$173)*('Scénarios prix énergie'!V$151:V$173))</f>
        <v>40.912526972748452</v>
      </c>
      <c r="AI73" s="213">
        <f ca="1">SUMPRODUCT(($C73='Scénarios prix énergie'!$B$151:$B$173)*($D73='Scénarios prix énergie'!$C$151:$C$173)*('Scénarios prix énergie'!W$151:W$173))</f>
        <v>42.958153321385879</v>
      </c>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59"/>
      <c r="CE73" s="59"/>
      <c r="CF73" s="59"/>
      <c r="CG73" s="59"/>
      <c r="CH73" s="59"/>
      <c r="CI73" s="59"/>
      <c r="CJ73" s="59"/>
      <c r="CK73" s="59"/>
      <c r="CL73" s="233"/>
      <c r="CM73" s="118"/>
      <c r="CN73" s="118"/>
      <c r="CO73" s="118"/>
      <c r="CP73" s="118"/>
    </row>
    <row r="74" spans="1:94" s="38" customFormat="1" ht="14" hidden="1" x14ac:dyDescent="0.3">
      <c r="A74" s="37"/>
      <c r="B74" s="37"/>
      <c r="C74" s="249" t="s">
        <v>130</v>
      </c>
      <c r="D74" s="251" t="str">
        <f>'Paramètres et Résultats'!$G$46</f>
        <v>Personnalisé</v>
      </c>
      <c r="E74" s="234"/>
      <c r="F74" s="234"/>
      <c r="G74" s="234"/>
      <c r="H74" s="234"/>
      <c r="I74" s="234"/>
      <c r="J74" s="234"/>
      <c r="K74" s="234"/>
      <c r="L74" s="234"/>
      <c r="M74" s="234"/>
      <c r="N74" s="234"/>
      <c r="O74" s="234"/>
      <c r="P74" s="256">
        <f ca="1">SUMPRODUCT(($C74='Scénarios prix énergie'!$B$151:$B$173)*($D74='Scénarios prix énergie'!$C$151:$C$173)*('Scénarios prix énergie'!D$151:D$173))</f>
        <v>43.040935672514621</v>
      </c>
      <c r="Q74" s="213">
        <f ca="1">SUMPRODUCT(($C74='Scénarios prix énergie'!$B$151:$B$173)*($D74='Scénarios prix énergie'!$C$151:$C$173)*('Scénarios prix énergie'!E$151:E$173))</f>
        <v>45.192982456140356</v>
      </c>
      <c r="R74" s="213">
        <f ca="1">SUMPRODUCT(($C74='Scénarios prix énergie'!$B$151:$B$173)*($D74='Scénarios prix énergie'!$C$151:$C$173)*('Scénarios prix énergie'!F$151:F$173))</f>
        <v>47.452631578947376</v>
      </c>
      <c r="S74" s="213">
        <f ca="1">SUMPRODUCT(($C74='Scénarios prix énergie'!$B$151:$B$173)*($D74='Scénarios prix énergie'!$C$151:$C$173)*('Scénarios prix énergie'!G$151:G$173))</f>
        <v>49.825263157894746</v>
      </c>
      <c r="T74" s="213">
        <f ca="1">SUMPRODUCT(($C74='Scénarios prix énergie'!$B$151:$B$173)*($D74='Scénarios prix énergie'!$C$151:$C$173)*('Scénarios prix énergie'!H$151:H$173))</f>
        <v>52.316526315789488</v>
      </c>
      <c r="U74" s="213">
        <f ca="1">SUMPRODUCT(($C74='Scénarios prix énergie'!$B$151:$B$173)*($D74='Scénarios prix énergie'!$C$151:$C$173)*('Scénarios prix énergie'!I$151:I$173))</f>
        <v>54.932352631578965</v>
      </c>
      <c r="V74" s="213">
        <f ca="1">SUMPRODUCT(($C74='Scénarios prix énergie'!$B$151:$B$173)*($D74='Scénarios prix énergie'!$C$151:$C$173)*('Scénarios prix énergie'!J$151:J$173))</f>
        <v>57.678970263157915</v>
      </c>
      <c r="W74" s="213">
        <f ca="1">SUMPRODUCT(($C74='Scénarios prix énergie'!$B$151:$B$173)*($D74='Scénarios prix énergie'!$C$151:$C$173)*('Scénarios prix énergie'!K$151:K$173))</f>
        <v>60.562918776315811</v>
      </c>
      <c r="X74" s="213">
        <f ca="1">SUMPRODUCT(($C74='Scénarios prix énergie'!$B$151:$B$173)*($D74='Scénarios prix énergie'!$C$151:$C$173)*('Scénarios prix énergie'!L$151:L$173))</f>
        <v>63.591064715131601</v>
      </c>
      <c r="Y74" s="213">
        <f ca="1">SUMPRODUCT(($C74='Scénarios prix énergie'!$B$151:$B$173)*($D74='Scénarios prix énergie'!$C$151:$C$173)*('Scénarios prix énergie'!M$151:M$173))</f>
        <v>66.77061795088818</v>
      </c>
      <c r="Z74" s="213">
        <f ca="1">SUMPRODUCT(($C74='Scénarios prix énergie'!$B$151:$B$173)*($D74='Scénarios prix énergie'!$C$151:$C$173)*('Scénarios prix énergie'!N$151:N$173))</f>
        <v>70.109148848432596</v>
      </c>
      <c r="AA74" s="213">
        <f ca="1">SUMPRODUCT(($C74='Scénarios prix énergie'!$B$151:$B$173)*($D74='Scénarios prix énergie'!$C$151:$C$173)*('Scénarios prix énergie'!O$151:O$173))</f>
        <v>73.614606290854226</v>
      </c>
      <c r="AB74" s="213">
        <f ca="1">SUMPRODUCT(($C74='Scénarios prix énergie'!$B$151:$B$173)*($D74='Scénarios prix énergie'!$C$151:$C$173)*('Scénarios prix énergie'!P$151:P$173))</f>
        <v>77.29533660539694</v>
      </c>
      <c r="AC74" s="213">
        <f ca="1">SUMPRODUCT(($C74='Scénarios prix énergie'!$B$151:$B$173)*($D74='Scénarios prix énergie'!$C$151:$C$173)*('Scénarios prix énergie'!Q$151:Q$173))</f>
        <v>81.160103435666784</v>
      </c>
      <c r="AD74" s="213">
        <f ca="1">SUMPRODUCT(($C74='Scénarios prix énergie'!$B$151:$B$173)*($D74='Scénarios prix énergie'!$C$151:$C$173)*('Scénarios prix énergie'!R$151:R$173))</f>
        <v>85.218108607450134</v>
      </c>
      <c r="AE74" s="213">
        <f ca="1">SUMPRODUCT(($C74='Scénarios prix énergie'!$B$151:$B$173)*($D74='Scénarios prix énergie'!$C$151:$C$173)*('Scénarios prix énergie'!S$151:S$173))</f>
        <v>89.479014037822651</v>
      </c>
      <c r="AF74" s="213">
        <f ca="1">SUMPRODUCT(($C74='Scénarios prix énergie'!$B$151:$B$173)*($D74='Scénarios prix énergie'!$C$151:$C$173)*('Scénarios prix énergie'!T$151:T$173))</f>
        <v>93.952964739713792</v>
      </c>
      <c r="AG74" s="213">
        <f ca="1">SUMPRODUCT(($C74='Scénarios prix énergie'!$B$151:$B$173)*($D74='Scénarios prix énergie'!$C$151:$C$173)*('Scénarios prix énergie'!U$151:U$173))</f>
        <v>98.650612976699492</v>
      </c>
      <c r="AH74" s="213">
        <f ca="1">SUMPRODUCT(($C74='Scénarios prix énergie'!$B$151:$B$173)*($D74='Scénarios prix énergie'!$C$151:$C$173)*('Scénarios prix énergie'!V$151:V$173))</f>
        <v>103.58314362553448</v>
      </c>
      <c r="AI74" s="213">
        <f ca="1">SUMPRODUCT(($C74='Scénarios prix énergie'!$B$151:$B$173)*($D74='Scénarios prix énergie'!$C$151:$C$173)*('Scénarios prix énergie'!W$151:W$173))</f>
        <v>108.7623008068112</v>
      </c>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59"/>
      <c r="CE74" s="59"/>
      <c r="CF74" s="59"/>
      <c r="CG74" s="59"/>
      <c r="CH74" s="59"/>
      <c r="CI74" s="59"/>
      <c r="CJ74" s="59"/>
      <c r="CK74" s="59"/>
      <c r="CL74" s="233"/>
      <c r="CM74" s="118"/>
      <c r="CN74" s="118"/>
      <c r="CO74" s="118"/>
      <c r="CP74" s="118"/>
    </row>
    <row r="75" spans="1:94" s="38" customFormat="1" ht="14" hidden="1" x14ac:dyDescent="0.3">
      <c r="A75" s="37"/>
      <c r="B75" s="37"/>
      <c r="C75" s="249" t="s">
        <v>131</v>
      </c>
      <c r="D75" s="251" t="str">
        <f>'Paramètres et Résultats'!$G$46</f>
        <v>Personnalisé</v>
      </c>
      <c r="E75" s="234"/>
      <c r="F75" s="234"/>
      <c r="G75" s="234"/>
      <c r="H75" s="234"/>
      <c r="I75" s="234"/>
      <c r="J75" s="234"/>
      <c r="K75" s="234"/>
      <c r="L75" s="234"/>
      <c r="M75" s="234"/>
      <c r="N75" s="234"/>
      <c r="O75" s="234"/>
      <c r="P75" s="256">
        <f ca="1">SUMPRODUCT(($C75='Scénarios prix énergie'!$B$151:$B$173)*($D75='Scénarios prix énergie'!$C$151:$C$173)*('Scénarios prix énergie'!D$151:D$173))</f>
        <v>0</v>
      </c>
      <c r="Q75" s="213">
        <f ca="1">SUMPRODUCT(($C75='Scénarios prix énergie'!$B$151:$B$173)*($D75='Scénarios prix énergie'!$C$151:$C$173)*('Scénarios prix énergie'!E$151:E$173))</f>
        <v>0</v>
      </c>
      <c r="R75" s="213">
        <f ca="1">SUMPRODUCT(($C75='Scénarios prix énergie'!$B$151:$B$173)*($D75='Scénarios prix énergie'!$C$151:$C$173)*('Scénarios prix énergie'!F$151:F$173))</f>
        <v>0</v>
      </c>
      <c r="S75" s="213">
        <f ca="1">SUMPRODUCT(($C75='Scénarios prix énergie'!$B$151:$B$173)*($D75='Scénarios prix énergie'!$C$151:$C$173)*('Scénarios prix énergie'!G$151:G$173))</f>
        <v>0</v>
      </c>
      <c r="T75" s="213">
        <f ca="1">SUMPRODUCT(($C75='Scénarios prix énergie'!$B$151:$B$173)*($D75='Scénarios prix énergie'!$C$151:$C$173)*('Scénarios prix énergie'!H$151:H$173))</f>
        <v>0</v>
      </c>
      <c r="U75" s="213">
        <f ca="1">SUMPRODUCT(($C75='Scénarios prix énergie'!$B$151:$B$173)*($D75='Scénarios prix énergie'!$C$151:$C$173)*('Scénarios prix énergie'!I$151:I$173))</f>
        <v>0</v>
      </c>
      <c r="V75" s="213">
        <f ca="1">SUMPRODUCT(($C75='Scénarios prix énergie'!$B$151:$B$173)*($D75='Scénarios prix énergie'!$C$151:$C$173)*('Scénarios prix énergie'!J$151:J$173))</f>
        <v>0</v>
      </c>
      <c r="W75" s="213">
        <f ca="1">SUMPRODUCT(($C75='Scénarios prix énergie'!$B$151:$B$173)*($D75='Scénarios prix énergie'!$C$151:$C$173)*('Scénarios prix énergie'!K$151:K$173))</f>
        <v>0</v>
      </c>
      <c r="X75" s="213">
        <f ca="1">SUMPRODUCT(($C75='Scénarios prix énergie'!$B$151:$B$173)*($D75='Scénarios prix énergie'!$C$151:$C$173)*('Scénarios prix énergie'!L$151:L$173))</f>
        <v>0</v>
      </c>
      <c r="Y75" s="213">
        <f ca="1">SUMPRODUCT(($C75='Scénarios prix énergie'!$B$151:$B$173)*($D75='Scénarios prix énergie'!$C$151:$C$173)*('Scénarios prix énergie'!M$151:M$173))</f>
        <v>0</v>
      </c>
      <c r="Z75" s="213">
        <f ca="1">SUMPRODUCT(($C75='Scénarios prix énergie'!$B$151:$B$173)*($D75='Scénarios prix énergie'!$C$151:$C$173)*('Scénarios prix énergie'!N$151:N$173))</f>
        <v>0</v>
      </c>
      <c r="AA75" s="213">
        <f ca="1">SUMPRODUCT(($C75='Scénarios prix énergie'!$B$151:$B$173)*($D75='Scénarios prix énergie'!$C$151:$C$173)*('Scénarios prix énergie'!O$151:O$173))</f>
        <v>0</v>
      </c>
      <c r="AB75" s="213">
        <f ca="1">SUMPRODUCT(($C75='Scénarios prix énergie'!$B$151:$B$173)*($D75='Scénarios prix énergie'!$C$151:$C$173)*('Scénarios prix énergie'!P$151:P$173))</f>
        <v>0</v>
      </c>
      <c r="AC75" s="213">
        <f ca="1">SUMPRODUCT(($C75='Scénarios prix énergie'!$B$151:$B$173)*($D75='Scénarios prix énergie'!$C$151:$C$173)*('Scénarios prix énergie'!Q$151:Q$173))</f>
        <v>0</v>
      </c>
      <c r="AD75" s="213">
        <f ca="1">SUMPRODUCT(($C75='Scénarios prix énergie'!$B$151:$B$173)*($D75='Scénarios prix énergie'!$C$151:$C$173)*('Scénarios prix énergie'!R$151:R$173))</f>
        <v>0</v>
      </c>
      <c r="AE75" s="213">
        <f ca="1">SUMPRODUCT(($C75='Scénarios prix énergie'!$B$151:$B$173)*($D75='Scénarios prix énergie'!$C$151:$C$173)*('Scénarios prix énergie'!S$151:S$173))</f>
        <v>0</v>
      </c>
      <c r="AF75" s="213">
        <f ca="1">SUMPRODUCT(($C75='Scénarios prix énergie'!$B$151:$B$173)*($D75='Scénarios prix énergie'!$C$151:$C$173)*('Scénarios prix énergie'!T$151:T$173))</f>
        <v>0</v>
      </c>
      <c r="AG75" s="213">
        <f ca="1">SUMPRODUCT(($C75='Scénarios prix énergie'!$B$151:$B$173)*($D75='Scénarios prix énergie'!$C$151:$C$173)*('Scénarios prix énergie'!U$151:U$173))</f>
        <v>0</v>
      </c>
      <c r="AH75" s="213">
        <f ca="1">SUMPRODUCT(($C75='Scénarios prix énergie'!$B$151:$B$173)*($D75='Scénarios prix énergie'!$C$151:$C$173)*('Scénarios prix énergie'!V$151:V$173))</f>
        <v>0</v>
      </c>
      <c r="AI75" s="213">
        <f ca="1">SUMPRODUCT(($C75='Scénarios prix énergie'!$B$151:$B$173)*($D75='Scénarios prix énergie'!$C$151:$C$173)*('Scénarios prix énergie'!W$151:W$173))</f>
        <v>0</v>
      </c>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59"/>
      <c r="CE75" s="59"/>
      <c r="CF75" s="59"/>
      <c r="CG75" s="59"/>
      <c r="CH75" s="59"/>
      <c r="CI75" s="59"/>
      <c r="CJ75" s="59"/>
      <c r="CK75" s="59"/>
      <c r="CL75" s="233"/>
      <c r="CM75" s="118"/>
      <c r="CN75" s="118"/>
      <c r="CO75" s="118"/>
      <c r="CP75" s="118"/>
    </row>
    <row r="76" spans="1:94" s="38" customFormat="1" ht="14" hidden="1" x14ac:dyDescent="0.3">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97"/>
      <c r="BA76" s="197"/>
      <c r="BB76" s="197"/>
      <c r="BC76" s="197"/>
      <c r="BD76" s="197"/>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118"/>
      <c r="CE76" s="118"/>
    </row>
    <row r="77" spans="1:94" s="38" customFormat="1" ht="14" hidden="1" x14ac:dyDescent="0.3">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97"/>
      <c r="BA77" s="197"/>
      <c r="BB77" s="197"/>
      <c r="BC77" s="197"/>
      <c r="BD77" s="197"/>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118"/>
      <c r="CE77" s="118"/>
    </row>
    <row r="78" spans="1:94" s="38" customFormat="1" ht="14" hidden="1" x14ac:dyDescent="0.3">
      <c r="A78" s="37"/>
      <c r="B78" s="37"/>
      <c r="C78" s="38" t="s">
        <v>312</v>
      </c>
      <c r="D78" s="250" t="s">
        <v>149</v>
      </c>
      <c r="E78" s="37"/>
      <c r="F78" s="259">
        <v>1</v>
      </c>
      <c r="G78" s="259">
        <v>2</v>
      </c>
      <c r="H78" s="259">
        <v>3</v>
      </c>
      <c r="I78" s="259">
        <v>4</v>
      </c>
      <c r="J78" s="259">
        <v>5</v>
      </c>
      <c r="K78" s="259">
        <v>6</v>
      </c>
      <c r="L78" s="259">
        <v>7</v>
      </c>
      <c r="M78" s="259">
        <v>8</v>
      </c>
      <c r="N78" s="259">
        <v>9</v>
      </c>
      <c r="O78" s="259">
        <v>10</v>
      </c>
      <c r="P78" s="259">
        <v>11</v>
      </c>
      <c r="Q78" s="259">
        <v>12</v>
      </c>
      <c r="R78" s="259">
        <v>13</v>
      </c>
      <c r="S78" s="259">
        <v>14</v>
      </c>
      <c r="T78" s="259">
        <v>15</v>
      </c>
      <c r="U78" s="259">
        <v>16</v>
      </c>
      <c r="V78" s="259">
        <v>17</v>
      </c>
      <c r="W78" s="259">
        <v>18</v>
      </c>
      <c r="X78" s="259">
        <v>19</v>
      </c>
      <c r="Y78" s="259">
        <v>20</v>
      </c>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97"/>
      <c r="BA78" s="197"/>
      <c r="BB78" s="197"/>
      <c r="BC78" s="197"/>
      <c r="BD78" s="197"/>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118"/>
      <c r="CE78" s="118"/>
    </row>
    <row r="79" spans="1:94" s="38" customFormat="1" ht="14" hidden="1" x14ac:dyDescent="0.3">
      <c r="A79" s="37"/>
      <c r="B79" s="37"/>
      <c r="C79" s="252" t="s">
        <v>57</v>
      </c>
      <c r="D79" s="253" t="str">
        <f>'Paramètres et Résultats'!$G$46</f>
        <v>Personnalisé</v>
      </c>
      <c r="E79" s="37"/>
      <c r="F79" s="257">
        <v>1</v>
      </c>
      <c r="G79" s="257">
        <f ca="1">IF(P68=0,F79,Q68/P68*F79)</f>
        <v>1.05</v>
      </c>
      <c r="H79" s="257">
        <f t="shared" ref="H79:Y86" ca="1" si="28">IF(Q68=0,G79,R68/Q68*G79)</f>
        <v>1.1025</v>
      </c>
      <c r="I79" s="257">
        <f t="shared" ca="1" si="28"/>
        <v>1.1576250000000001</v>
      </c>
      <c r="J79" s="257">
        <f t="shared" ca="1" si="28"/>
        <v>1.2155062500000002</v>
      </c>
      <c r="K79" s="257">
        <f t="shared" ca="1" si="28"/>
        <v>1.2762815625000004</v>
      </c>
      <c r="L79" s="257">
        <f t="shared" ca="1" si="28"/>
        <v>1.3400956406250004</v>
      </c>
      <c r="M79" s="257">
        <f t="shared" ca="1" si="28"/>
        <v>1.4071004226562505</v>
      </c>
      <c r="N79" s="257">
        <f t="shared" ca="1" si="28"/>
        <v>1.477455443789063</v>
      </c>
      <c r="O79" s="257">
        <f t="shared" ca="1" si="28"/>
        <v>1.5513282159785162</v>
      </c>
      <c r="P79" s="257">
        <f t="shared" ca="1" si="28"/>
        <v>1.628894626777442</v>
      </c>
      <c r="Q79" s="257">
        <f t="shared" ca="1" si="28"/>
        <v>1.7103393581163142</v>
      </c>
      <c r="R79" s="257">
        <f t="shared" ca="1" si="28"/>
        <v>1.7958563260221301</v>
      </c>
      <c r="S79" s="257">
        <f t="shared" ca="1" si="28"/>
        <v>1.8856491423232367</v>
      </c>
      <c r="T79" s="257">
        <f t="shared" ca="1" si="28"/>
        <v>1.9799315994393987</v>
      </c>
      <c r="U79" s="257">
        <f t="shared" ca="1" si="28"/>
        <v>2.0789281794113688</v>
      </c>
      <c r="V79" s="257">
        <f t="shared" ca="1" si="28"/>
        <v>2.1828745883819374</v>
      </c>
      <c r="W79" s="257">
        <f t="shared" ca="1" si="28"/>
        <v>2.2920183178010345</v>
      </c>
      <c r="X79" s="257">
        <f t="shared" ca="1" si="28"/>
        <v>2.4066192336910861</v>
      </c>
      <c r="Y79" s="257">
        <f t="shared" ca="1" si="28"/>
        <v>2.5269501953756404</v>
      </c>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97"/>
      <c r="BA79" s="197"/>
      <c r="BB79" s="197"/>
      <c r="BC79" s="197"/>
      <c r="BD79" s="197"/>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118"/>
      <c r="CE79" s="118"/>
    </row>
    <row r="80" spans="1:94" s="38" customFormat="1" ht="14" hidden="1" x14ac:dyDescent="0.3">
      <c r="A80" s="37"/>
      <c r="B80" s="37"/>
      <c r="C80" s="249" t="s">
        <v>58</v>
      </c>
      <c r="D80" s="251" t="str">
        <f>'Paramètres et Résultats'!$G$46</f>
        <v>Personnalisé</v>
      </c>
      <c r="E80" s="37"/>
      <c r="F80" s="258">
        <v>1</v>
      </c>
      <c r="G80" s="258">
        <f t="shared" ref="G80:G86" ca="1" si="29">IF(P69=0,F80,Q69/P69*F80)</f>
        <v>1.05</v>
      </c>
      <c r="H80" s="258">
        <f t="shared" ca="1" si="28"/>
        <v>1.1025</v>
      </c>
      <c r="I80" s="258">
        <f t="shared" ca="1" si="28"/>
        <v>1.1576250000000001</v>
      </c>
      <c r="J80" s="258">
        <f t="shared" ca="1" si="28"/>
        <v>1.2155062500000002</v>
      </c>
      <c r="K80" s="258">
        <f t="shared" ca="1" si="28"/>
        <v>1.2762815625000004</v>
      </c>
      <c r="L80" s="258">
        <f t="shared" ca="1" si="28"/>
        <v>1.3400956406250004</v>
      </c>
      <c r="M80" s="258">
        <f t="shared" ca="1" si="28"/>
        <v>1.4071004226562505</v>
      </c>
      <c r="N80" s="258">
        <f t="shared" ca="1" si="28"/>
        <v>1.477455443789063</v>
      </c>
      <c r="O80" s="258">
        <f t="shared" ca="1" si="28"/>
        <v>1.5513282159785162</v>
      </c>
      <c r="P80" s="258">
        <f t="shared" ca="1" si="28"/>
        <v>1.628894626777442</v>
      </c>
      <c r="Q80" s="258">
        <f t="shared" ca="1" si="28"/>
        <v>1.7103393581163142</v>
      </c>
      <c r="R80" s="258">
        <f t="shared" ca="1" si="28"/>
        <v>1.7958563260221301</v>
      </c>
      <c r="S80" s="258">
        <f t="shared" ca="1" si="28"/>
        <v>1.8856491423232367</v>
      </c>
      <c r="T80" s="258">
        <f t="shared" ca="1" si="28"/>
        <v>1.9799315994393987</v>
      </c>
      <c r="U80" s="258">
        <f t="shared" ca="1" si="28"/>
        <v>2.0789281794113688</v>
      </c>
      <c r="V80" s="258">
        <f t="shared" ca="1" si="28"/>
        <v>2.1828745883819374</v>
      </c>
      <c r="W80" s="258">
        <f t="shared" ca="1" si="28"/>
        <v>2.2920183178010345</v>
      </c>
      <c r="X80" s="258">
        <f t="shared" ca="1" si="28"/>
        <v>2.4066192336910861</v>
      </c>
      <c r="Y80" s="258">
        <f t="shared" ca="1" si="28"/>
        <v>2.5269501953756404</v>
      </c>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97"/>
      <c r="BA80" s="197"/>
      <c r="BB80" s="197"/>
      <c r="BC80" s="197"/>
      <c r="BD80" s="197"/>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118"/>
      <c r="CE80" s="118"/>
    </row>
    <row r="81" spans="1:83" s="38" customFormat="1" ht="14" hidden="1" x14ac:dyDescent="0.3">
      <c r="A81" s="37"/>
      <c r="B81" s="37"/>
      <c r="C81" s="249" t="s">
        <v>15</v>
      </c>
      <c r="D81" s="251" t="str">
        <f>'Paramètres et Résultats'!$G$46</f>
        <v>Personnalisé</v>
      </c>
      <c r="E81" s="37"/>
      <c r="F81" s="258">
        <v>1</v>
      </c>
      <c r="G81" s="258">
        <f t="shared" ca="1" si="29"/>
        <v>1.05</v>
      </c>
      <c r="H81" s="258">
        <f t="shared" ca="1" si="28"/>
        <v>1.1025</v>
      </c>
      <c r="I81" s="258">
        <f t="shared" ca="1" si="28"/>
        <v>1.1576250000000001</v>
      </c>
      <c r="J81" s="258">
        <f t="shared" ca="1" si="28"/>
        <v>1.2155062500000002</v>
      </c>
      <c r="K81" s="258">
        <f t="shared" ca="1" si="28"/>
        <v>1.2762815625000004</v>
      </c>
      <c r="L81" s="258">
        <f t="shared" ca="1" si="28"/>
        <v>1.3400956406250004</v>
      </c>
      <c r="M81" s="258">
        <f t="shared" ca="1" si="28"/>
        <v>1.4071004226562505</v>
      </c>
      <c r="N81" s="258">
        <f t="shared" ca="1" si="28"/>
        <v>1.477455443789063</v>
      </c>
      <c r="O81" s="258">
        <f t="shared" ca="1" si="28"/>
        <v>1.5513282159785162</v>
      </c>
      <c r="P81" s="258">
        <f t="shared" ca="1" si="28"/>
        <v>1.628894626777442</v>
      </c>
      <c r="Q81" s="258">
        <f t="shared" ca="1" si="28"/>
        <v>1.7103393581163142</v>
      </c>
      <c r="R81" s="258">
        <f t="shared" ca="1" si="28"/>
        <v>1.7958563260221301</v>
      </c>
      <c r="S81" s="258">
        <f t="shared" ca="1" si="28"/>
        <v>1.8856491423232367</v>
      </c>
      <c r="T81" s="258">
        <f t="shared" ca="1" si="28"/>
        <v>1.9799315994393987</v>
      </c>
      <c r="U81" s="258">
        <f t="shared" ca="1" si="28"/>
        <v>2.0789281794113688</v>
      </c>
      <c r="V81" s="258">
        <f t="shared" ca="1" si="28"/>
        <v>2.1828745883819374</v>
      </c>
      <c r="W81" s="258">
        <f t="shared" ca="1" si="28"/>
        <v>2.2920183178010345</v>
      </c>
      <c r="X81" s="258">
        <f t="shared" ca="1" si="28"/>
        <v>2.4066192336910861</v>
      </c>
      <c r="Y81" s="258">
        <f t="shared" ca="1" si="28"/>
        <v>2.5269501953756404</v>
      </c>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97"/>
      <c r="BA81" s="197"/>
      <c r="BB81" s="197"/>
      <c r="BC81" s="197"/>
      <c r="BD81" s="197"/>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118"/>
      <c r="CE81" s="118"/>
    </row>
    <row r="82" spans="1:83" s="38" customFormat="1" ht="14" hidden="1" x14ac:dyDescent="0.3">
      <c r="A82" s="37"/>
      <c r="B82" s="37"/>
      <c r="C82" s="249" t="s">
        <v>128</v>
      </c>
      <c r="D82" s="251" t="str">
        <f>'Paramètres et Résultats'!$G$46</f>
        <v>Personnalisé</v>
      </c>
      <c r="E82" s="37"/>
      <c r="F82" s="258">
        <v>1</v>
      </c>
      <c r="G82" s="258">
        <f t="shared" ca="1" si="29"/>
        <v>1.05</v>
      </c>
      <c r="H82" s="258">
        <f t="shared" ca="1" si="28"/>
        <v>1.1025</v>
      </c>
      <c r="I82" s="258">
        <f t="shared" ca="1" si="28"/>
        <v>1.1576250000000001</v>
      </c>
      <c r="J82" s="258">
        <f t="shared" ca="1" si="28"/>
        <v>1.2155062500000002</v>
      </c>
      <c r="K82" s="258">
        <f t="shared" ca="1" si="28"/>
        <v>1.2762815625000004</v>
      </c>
      <c r="L82" s="258">
        <f t="shared" ca="1" si="28"/>
        <v>1.3400956406250004</v>
      </c>
      <c r="M82" s="258">
        <f t="shared" ca="1" si="28"/>
        <v>1.4071004226562505</v>
      </c>
      <c r="N82" s="258">
        <f t="shared" ca="1" si="28"/>
        <v>1.477455443789063</v>
      </c>
      <c r="O82" s="258">
        <f t="shared" ca="1" si="28"/>
        <v>1.5513282159785162</v>
      </c>
      <c r="P82" s="258">
        <f t="shared" ca="1" si="28"/>
        <v>1.628894626777442</v>
      </c>
      <c r="Q82" s="258">
        <f t="shared" ca="1" si="28"/>
        <v>1.7103393581163142</v>
      </c>
      <c r="R82" s="258">
        <f t="shared" ca="1" si="28"/>
        <v>1.7958563260221301</v>
      </c>
      <c r="S82" s="258">
        <f t="shared" ca="1" si="28"/>
        <v>1.8856491423232367</v>
      </c>
      <c r="T82" s="258">
        <f t="shared" ca="1" si="28"/>
        <v>1.9799315994393987</v>
      </c>
      <c r="U82" s="258">
        <f t="shared" ca="1" si="28"/>
        <v>2.0789281794113688</v>
      </c>
      <c r="V82" s="258">
        <f t="shared" ca="1" si="28"/>
        <v>2.1828745883819374</v>
      </c>
      <c r="W82" s="258">
        <f t="shared" ca="1" si="28"/>
        <v>2.2920183178010345</v>
      </c>
      <c r="X82" s="258">
        <f t="shared" ca="1" si="28"/>
        <v>2.4066192336910861</v>
      </c>
      <c r="Y82" s="258">
        <f t="shared" ca="1" si="28"/>
        <v>2.5269501953756404</v>
      </c>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97"/>
      <c r="BA82" s="197"/>
      <c r="BB82" s="197"/>
      <c r="BC82" s="197"/>
      <c r="BD82" s="197"/>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118"/>
      <c r="CE82" s="118"/>
    </row>
    <row r="83" spans="1:83" s="38" customFormat="1" ht="14" hidden="1" x14ac:dyDescent="0.3">
      <c r="A83" s="37"/>
      <c r="B83" s="37"/>
      <c r="C83" s="249" t="s">
        <v>18</v>
      </c>
      <c r="D83" s="251" t="str">
        <f>'Paramètres et Résultats'!$G$46</f>
        <v>Personnalisé</v>
      </c>
      <c r="E83" s="37"/>
      <c r="F83" s="258">
        <v>1</v>
      </c>
      <c r="G83" s="258">
        <f t="shared" ca="1" si="29"/>
        <v>1.05</v>
      </c>
      <c r="H83" s="258">
        <f t="shared" ca="1" si="28"/>
        <v>1.1025</v>
      </c>
      <c r="I83" s="258">
        <f t="shared" ca="1" si="28"/>
        <v>1.1576250000000001</v>
      </c>
      <c r="J83" s="258">
        <f t="shared" ca="1" si="28"/>
        <v>1.2155062500000002</v>
      </c>
      <c r="K83" s="258">
        <f t="shared" ca="1" si="28"/>
        <v>1.2762815625000004</v>
      </c>
      <c r="L83" s="258">
        <f t="shared" ca="1" si="28"/>
        <v>1.3400956406250004</v>
      </c>
      <c r="M83" s="258">
        <f t="shared" ca="1" si="28"/>
        <v>1.4071004226562505</v>
      </c>
      <c r="N83" s="258">
        <f t="shared" ca="1" si="28"/>
        <v>1.477455443789063</v>
      </c>
      <c r="O83" s="258">
        <f t="shared" ca="1" si="28"/>
        <v>1.5513282159785162</v>
      </c>
      <c r="P83" s="258">
        <f t="shared" ca="1" si="28"/>
        <v>1.628894626777442</v>
      </c>
      <c r="Q83" s="258">
        <f t="shared" ca="1" si="28"/>
        <v>1.7103393581163142</v>
      </c>
      <c r="R83" s="258">
        <f t="shared" ca="1" si="28"/>
        <v>1.7958563260221301</v>
      </c>
      <c r="S83" s="258">
        <f t="shared" ca="1" si="28"/>
        <v>1.8856491423232367</v>
      </c>
      <c r="T83" s="258">
        <f t="shared" ca="1" si="28"/>
        <v>1.9799315994393987</v>
      </c>
      <c r="U83" s="258">
        <f t="shared" ca="1" si="28"/>
        <v>2.0789281794113688</v>
      </c>
      <c r="V83" s="258">
        <f t="shared" ca="1" si="28"/>
        <v>2.1828745883819374</v>
      </c>
      <c r="W83" s="258">
        <f t="shared" ca="1" si="28"/>
        <v>2.2920183178010345</v>
      </c>
      <c r="X83" s="258">
        <f t="shared" ca="1" si="28"/>
        <v>2.4066192336910861</v>
      </c>
      <c r="Y83" s="258">
        <f t="shared" ca="1" si="28"/>
        <v>2.5269501953756404</v>
      </c>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97"/>
      <c r="BA83" s="197"/>
      <c r="BB83" s="197"/>
      <c r="BC83" s="197"/>
      <c r="BD83" s="197"/>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118"/>
      <c r="CE83" s="118"/>
    </row>
    <row r="84" spans="1:83" s="38" customFormat="1" ht="14" hidden="1" x14ac:dyDescent="0.3">
      <c r="A84" s="37"/>
      <c r="B84" s="37"/>
      <c r="C84" s="249" t="s">
        <v>129</v>
      </c>
      <c r="D84" s="251" t="str">
        <f>'Paramètres et Résultats'!$G$46</f>
        <v>Personnalisé</v>
      </c>
      <c r="E84" s="37"/>
      <c r="F84" s="258">
        <v>1</v>
      </c>
      <c r="G84" s="258">
        <f t="shared" ca="1" si="29"/>
        <v>1.05</v>
      </c>
      <c r="H84" s="258">
        <f t="shared" ca="1" si="28"/>
        <v>1.1025</v>
      </c>
      <c r="I84" s="258">
        <f t="shared" ca="1" si="28"/>
        <v>1.1576250000000001</v>
      </c>
      <c r="J84" s="258">
        <f t="shared" ca="1" si="28"/>
        <v>1.2155062500000002</v>
      </c>
      <c r="K84" s="258">
        <f t="shared" ca="1" si="28"/>
        <v>1.2762815625000004</v>
      </c>
      <c r="L84" s="258">
        <f t="shared" ca="1" si="28"/>
        <v>1.3400956406250004</v>
      </c>
      <c r="M84" s="258">
        <f t="shared" ca="1" si="28"/>
        <v>1.4071004226562505</v>
      </c>
      <c r="N84" s="258">
        <f t="shared" ca="1" si="28"/>
        <v>1.477455443789063</v>
      </c>
      <c r="O84" s="258">
        <f t="shared" ca="1" si="28"/>
        <v>1.5513282159785162</v>
      </c>
      <c r="P84" s="258">
        <f t="shared" ca="1" si="28"/>
        <v>1.628894626777442</v>
      </c>
      <c r="Q84" s="258">
        <f t="shared" ca="1" si="28"/>
        <v>1.7103393581163142</v>
      </c>
      <c r="R84" s="258">
        <f t="shared" ca="1" si="28"/>
        <v>1.7958563260221301</v>
      </c>
      <c r="S84" s="258">
        <f t="shared" ca="1" si="28"/>
        <v>1.8856491423232367</v>
      </c>
      <c r="T84" s="258">
        <f t="shared" ca="1" si="28"/>
        <v>1.9799315994393987</v>
      </c>
      <c r="U84" s="258">
        <f t="shared" ca="1" si="28"/>
        <v>2.0789281794113688</v>
      </c>
      <c r="V84" s="258">
        <f t="shared" ca="1" si="28"/>
        <v>2.1828745883819374</v>
      </c>
      <c r="W84" s="258">
        <f t="shared" ca="1" si="28"/>
        <v>2.2920183178010345</v>
      </c>
      <c r="X84" s="258">
        <f t="shared" ca="1" si="28"/>
        <v>2.4066192336910861</v>
      </c>
      <c r="Y84" s="258">
        <f t="shared" ca="1" si="28"/>
        <v>2.5269501953756404</v>
      </c>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97"/>
      <c r="BA84" s="197"/>
      <c r="BB84" s="197"/>
      <c r="BC84" s="197"/>
      <c r="BD84" s="197"/>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118"/>
      <c r="CE84" s="118"/>
    </row>
    <row r="85" spans="1:83" s="38" customFormat="1" ht="14" hidden="1" x14ac:dyDescent="0.3">
      <c r="A85" s="37"/>
      <c r="B85" s="37"/>
      <c r="C85" s="249" t="s">
        <v>130</v>
      </c>
      <c r="D85" s="251" t="str">
        <f>'Paramètres et Résultats'!$G$46</f>
        <v>Personnalisé</v>
      </c>
      <c r="E85" s="37"/>
      <c r="F85" s="258">
        <v>1</v>
      </c>
      <c r="G85" s="258">
        <f t="shared" ca="1" si="29"/>
        <v>1.05</v>
      </c>
      <c r="H85" s="258">
        <f t="shared" ca="1" si="28"/>
        <v>1.1025</v>
      </c>
      <c r="I85" s="258">
        <f t="shared" ca="1" si="28"/>
        <v>1.1576250000000001</v>
      </c>
      <c r="J85" s="258">
        <f t="shared" ca="1" si="28"/>
        <v>1.2155062500000002</v>
      </c>
      <c r="K85" s="258">
        <f t="shared" ca="1" si="28"/>
        <v>1.2762815625000004</v>
      </c>
      <c r="L85" s="258">
        <f t="shared" ca="1" si="28"/>
        <v>1.3400956406250004</v>
      </c>
      <c r="M85" s="258">
        <f t="shared" ca="1" si="28"/>
        <v>1.4071004226562505</v>
      </c>
      <c r="N85" s="258">
        <f t="shared" ca="1" si="28"/>
        <v>1.477455443789063</v>
      </c>
      <c r="O85" s="258">
        <f t="shared" ca="1" si="28"/>
        <v>1.5513282159785162</v>
      </c>
      <c r="P85" s="258">
        <f t="shared" ca="1" si="28"/>
        <v>1.628894626777442</v>
      </c>
      <c r="Q85" s="258">
        <f t="shared" ca="1" si="28"/>
        <v>1.7103393581163142</v>
      </c>
      <c r="R85" s="258">
        <f t="shared" ca="1" si="28"/>
        <v>1.7958563260221301</v>
      </c>
      <c r="S85" s="258">
        <f t="shared" ca="1" si="28"/>
        <v>1.8856491423232367</v>
      </c>
      <c r="T85" s="258">
        <f t="shared" ca="1" si="28"/>
        <v>1.9799315994393987</v>
      </c>
      <c r="U85" s="258">
        <f t="shared" ca="1" si="28"/>
        <v>2.0789281794113688</v>
      </c>
      <c r="V85" s="258">
        <f t="shared" ca="1" si="28"/>
        <v>2.1828745883819374</v>
      </c>
      <c r="W85" s="258">
        <f t="shared" ca="1" si="28"/>
        <v>2.2920183178010345</v>
      </c>
      <c r="X85" s="258">
        <f t="shared" ca="1" si="28"/>
        <v>2.4066192336910861</v>
      </c>
      <c r="Y85" s="258">
        <f t="shared" ca="1" si="28"/>
        <v>2.5269501953756404</v>
      </c>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97"/>
      <c r="BA85" s="197"/>
      <c r="BB85" s="197"/>
      <c r="BC85" s="197"/>
      <c r="BD85" s="197"/>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118"/>
      <c r="CE85" s="118"/>
    </row>
    <row r="86" spans="1:83" s="38" customFormat="1" ht="14" hidden="1" x14ac:dyDescent="0.3">
      <c r="A86" s="37"/>
      <c r="B86" s="37"/>
      <c r="C86" s="249" t="s">
        <v>131</v>
      </c>
      <c r="D86" s="251" t="str">
        <f>'Paramètres et Résultats'!$G$46</f>
        <v>Personnalisé</v>
      </c>
      <c r="E86" s="37"/>
      <c r="F86" s="258">
        <v>1</v>
      </c>
      <c r="G86" s="258">
        <f t="shared" ca="1" si="29"/>
        <v>1</v>
      </c>
      <c r="H86" s="258">
        <f t="shared" ca="1" si="28"/>
        <v>1</v>
      </c>
      <c r="I86" s="258">
        <f t="shared" ca="1" si="28"/>
        <v>1</v>
      </c>
      <c r="J86" s="258">
        <f t="shared" ca="1" si="28"/>
        <v>1</v>
      </c>
      <c r="K86" s="258">
        <f t="shared" ca="1" si="28"/>
        <v>1</v>
      </c>
      <c r="L86" s="258">
        <f t="shared" ca="1" si="28"/>
        <v>1</v>
      </c>
      <c r="M86" s="258">
        <f t="shared" ca="1" si="28"/>
        <v>1</v>
      </c>
      <c r="N86" s="258">
        <f t="shared" ca="1" si="28"/>
        <v>1</v>
      </c>
      <c r="O86" s="258">
        <f t="shared" ca="1" si="28"/>
        <v>1</v>
      </c>
      <c r="P86" s="258">
        <f t="shared" ca="1" si="28"/>
        <v>1</v>
      </c>
      <c r="Q86" s="258">
        <f t="shared" ca="1" si="28"/>
        <v>1</v>
      </c>
      <c r="R86" s="258">
        <f t="shared" ca="1" si="28"/>
        <v>1</v>
      </c>
      <c r="S86" s="258">
        <f t="shared" ca="1" si="28"/>
        <v>1</v>
      </c>
      <c r="T86" s="258">
        <f t="shared" ca="1" si="28"/>
        <v>1</v>
      </c>
      <c r="U86" s="258">
        <f t="shared" ca="1" si="28"/>
        <v>1</v>
      </c>
      <c r="V86" s="258">
        <f t="shared" ca="1" si="28"/>
        <v>1</v>
      </c>
      <c r="W86" s="258">
        <f t="shared" ca="1" si="28"/>
        <v>1</v>
      </c>
      <c r="X86" s="258">
        <f t="shared" ca="1" si="28"/>
        <v>1</v>
      </c>
      <c r="Y86" s="258">
        <f t="shared" ca="1" si="28"/>
        <v>1</v>
      </c>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97"/>
      <c r="BA86" s="197"/>
      <c r="BB86" s="197"/>
      <c r="BC86" s="197"/>
      <c r="BD86" s="197"/>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118"/>
      <c r="CE86" s="118"/>
    </row>
    <row r="87" spans="1:83" s="38" customFormat="1" ht="14" hidden="1" x14ac:dyDescent="0.3">
      <c r="A87" s="37"/>
      <c r="B87" s="37"/>
      <c r="C87" s="37"/>
      <c r="D87" s="37"/>
      <c r="E87" s="37"/>
      <c r="F87" s="37"/>
      <c r="G87" s="37"/>
      <c r="H87" s="37"/>
      <c r="I87" s="37"/>
      <c r="J87" s="37"/>
      <c r="K87" s="37"/>
      <c r="L87" s="37"/>
      <c r="M87" s="37"/>
      <c r="N87" s="37"/>
      <c r="O87" s="37"/>
      <c r="P87" s="37"/>
      <c r="Q87" s="37"/>
      <c r="R87" s="37"/>
      <c r="S87" s="37"/>
      <c r="T87" s="37"/>
      <c r="U87" s="37"/>
      <c r="V87" s="37"/>
      <c r="W87" s="37"/>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97"/>
      <c r="BA87" s="197"/>
      <c r="BB87" s="197"/>
      <c r="BC87" s="197"/>
      <c r="BD87" s="197"/>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118"/>
      <c r="CE87" s="118"/>
    </row>
    <row r="88" spans="1:83" s="38" customFormat="1" ht="14" hidden="1" x14ac:dyDescent="0.3">
      <c r="A88" s="37"/>
      <c r="B88" s="37"/>
      <c r="C88" s="37"/>
      <c r="D88" s="37"/>
      <c r="E88" s="37"/>
      <c r="F88" s="37"/>
      <c r="G88" s="37"/>
      <c r="H88" s="37"/>
      <c r="I88" s="37"/>
      <c r="J88" s="37"/>
      <c r="K88" s="37"/>
      <c r="L88" s="37"/>
      <c r="M88" s="37"/>
      <c r="N88" s="37"/>
      <c r="O88" s="37"/>
      <c r="P88" s="37"/>
      <c r="Q88" s="37"/>
      <c r="R88" s="37"/>
      <c r="S88" s="37"/>
      <c r="T88" s="37"/>
      <c r="U88" s="37"/>
      <c r="V88" s="37"/>
      <c r="W88" s="37"/>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97"/>
      <c r="BA88" s="197"/>
      <c r="BB88" s="197"/>
      <c r="BC88" s="197"/>
      <c r="BD88" s="197"/>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118"/>
      <c r="CE88" s="118"/>
    </row>
    <row r="89" spans="1:83" s="38" customFormat="1" ht="14" hidden="1" x14ac:dyDescent="0.3">
      <c r="A89" s="37"/>
      <c r="B89" s="37"/>
      <c r="C89" s="37"/>
      <c r="D89" s="37"/>
      <c r="E89" s="37"/>
      <c r="F89" s="37"/>
      <c r="G89" s="37"/>
      <c r="H89" s="37"/>
      <c r="I89" s="37"/>
      <c r="J89" s="37"/>
      <c r="K89" s="37"/>
      <c r="L89" s="37"/>
      <c r="M89" s="37"/>
      <c r="N89" s="37"/>
      <c r="O89" s="37"/>
      <c r="P89" s="37"/>
      <c r="Q89" s="37"/>
      <c r="R89" s="37"/>
      <c r="S89" s="37"/>
      <c r="T89" s="37"/>
      <c r="U89" s="37"/>
      <c r="V89" s="37"/>
      <c r="W89" s="37"/>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97"/>
      <c r="BA89" s="197"/>
      <c r="BB89" s="197"/>
      <c r="BC89" s="197"/>
      <c r="BD89" s="197"/>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118"/>
      <c r="CE89" s="118"/>
    </row>
    <row r="90" spans="1:83" s="38" customFormat="1" ht="14" hidden="1" x14ac:dyDescent="0.3">
      <c r="A90" s="37"/>
      <c r="B90" s="37"/>
      <c r="C90" s="37"/>
      <c r="D90" s="37"/>
      <c r="E90" s="37"/>
      <c r="F90" s="37"/>
      <c r="G90" s="37"/>
      <c r="H90" s="37"/>
      <c r="I90" s="37"/>
      <c r="J90" s="37"/>
      <c r="K90" s="37"/>
      <c r="L90" s="37"/>
      <c r="M90" s="37"/>
      <c r="N90" s="37"/>
      <c r="O90" s="37"/>
      <c r="P90" s="37"/>
      <c r="Q90" s="37"/>
      <c r="R90" s="37"/>
      <c r="S90" s="37"/>
      <c r="T90" s="37"/>
      <c r="U90" s="37"/>
      <c r="V90" s="37"/>
      <c r="W90" s="37"/>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97"/>
      <c r="BA90" s="197"/>
      <c r="BB90" s="197"/>
      <c r="BC90" s="197"/>
      <c r="BD90" s="197"/>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118"/>
      <c r="CE90" s="118"/>
    </row>
    <row r="91" spans="1:83" s="38" customFormat="1" ht="14" hidden="1" x14ac:dyDescent="0.3">
      <c r="A91" s="37"/>
      <c r="B91" s="37"/>
      <c r="C91" s="37"/>
      <c r="D91" s="37"/>
      <c r="E91" s="37"/>
      <c r="F91" s="37"/>
      <c r="G91" s="37"/>
      <c r="H91" s="37"/>
      <c r="I91" s="37"/>
      <c r="J91" s="37"/>
      <c r="K91" s="37"/>
      <c r="L91" s="37"/>
      <c r="M91" s="37"/>
      <c r="N91" s="37"/>
      <c r="O91" s="37"/>
      <c r="P91" s="37"/>
      <c r="Q91" s="37"/>
      <c r="R91" s="37"/>
      <c r="S91" s="37"/>
      <c r="T91" s="37"/>
      <c r="U91" s="37"/>
      <c r="V91" s="37"/>
      <c r="W91" s="37"/>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97"/>
      <c r="BA91" s="197"/>
      <c r="BB91" s="197"/>
      <c r="BC91" s="197"/>
      <c r="BD91" s="197"/>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118"/>
      <c r="CE91" s="118"/>
    </row>
    <row r="92" spans="1:83" s="38" customFormat="1" ht="14" hidden="1" x14ac:dyDescent="0.3">
      <c r="A92" s="37"/>
      <c r="B92" s="37"/>
      <c r="C92" s="37"/>
      <c r="D92" s="37"/>
      <c r="E92" s="37"/>
      <c r="F92" s="37"/>
      <c r="G92" s="37"/>
      <c r="H92" s="37"/>
      <c r="I92" s="37"/>
      <c r="J92" s="37"/>
      <c r="K92" s="37"/>
      <c r="L92" s="37"/>
      <c r="M92" s="37"/>
      <c r="N92" s="37"/>
      <c r="O92" s="37"/>
      <c r="P92" s="37"/>
      <c r="Q92" s="37"/>
      <c r="R92" s="37"/>
      <c r="S92" s="37"/>
      <c r="T92" s="37"/>
      <c r="U92" s="37"/>
      <c r="V92" s="37"/>
      <c r="W92" s="37"/>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97"/>
      <c r="BA92" s="197"/>
      <c r="BB92" s="197"/>
      <c r="BC92" s="197"/>
      <c r="BD92" s="197"/>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118"/>
      <c r="CE92" s="118"/>
    </row>
    <row r="93" spans="1:83" s="38" customFormat="1" ht="16.5" hidden="1" x14ac:dyDescent="0.35">
      <c r="A93" s="37"/>
      <c r="B93" s="37"/>
      <c r="C93" s="160" t="s">
        <v>297</v>
      </c>
      <c r="D93" s="37"/>
      <c r="E93" s="37"/>
      <c r="F93" s="37"/>
      <c r="G93" s="37"/>
      <c r="H93" s="37"/>
      <c r="I93" s="37"/>
      <c r="J93" s="37"/>
      <c r="K93" s="37"/>
      <c r="L93" s="37"/>
      <c r="M93" s="37"/>
      <c r="N93" s="37"/>
      <c r="O93" s="37"/>
      <c r="P93" s="37"/>
      <c r="Q93" s="37"/>
      <c r="R93" s="37"/>
      <c r="S93" s="37"/>
      <c r="T93" s="37"/>
      <c r="U93" s="37"/>
      <c r="V93" s="37"/>
      <c r="W93" s="37"/>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97"/>
      <c r="BA93" s="197"/>
      <c r="BB93" s="197"/>
      <c r="BC93" s="197"/>
      <c r="BD93" s="197"/>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118"/>
      <c r="CE93" s="118"/>
    </row>
    <row r="94" spans="1:83" s="38" customFormat="1" ht="14" hidden="1" x14ac:dyDescent="0.3">
      <c r="A94" s="37"/>
      <c r="B94" s="37"/>
      <c r="C94" s="37"/>
      <c r="D94" s="37"/>
      <c r="E94" s="37">
        <v>0</v>
      </c>
      <c r="F94" s="37">
        <f t="shared" ref="F94:U94" si="30">E94+1</f>
        <v>1</v>
      </c>
      <c r="G94" s="37">
        <f t="shared" si="30"/>
        <v>2</v>
      </c>
      <c r="H94" s="37">
        <f t="shared" si="30"/>
        <v>3</v>
      </c>
      <c r="I94" s="37">
        <f t="shared" si="30"/>
        <v>4</v>
      </c>
      <c r="J94" s="37">
        <f t="shared" si="30"/>
        <v>5</v>
      </c>
      <c r="K94" s="37">
        <f t="shared" si="30"/>
        <v>6</v>
      </c>
      <c r="L94" s="37">
        <f t="shared" si="30"/>
        <v>7</v>
      </c>
      <c r="M94" s="37">
        <f t="shared" si="30"/>
        <v>8</v>
      </c>
      <c r="N94" s="37">
        <f t="shared" si="30"/>
        <v>9</v>
      </c>
      <c r="O94" s="37">
        <f t="shared" si="30"/>
        <v>10</v>
      </c>
      <c r="P94" s="37">
        <f t="shared" si="30"/>
        <v>11</v>
      </c>
      <c r="Q94" s="37">
        <f t="shared" si="30"/>
        <v>12</v>
      </c>
      <c r="R94" s="37">
        <f t="shared" si="30"/>
        <v>13</v>
      </c>
      <c r="S94" s="37">
        <f t="shared" si="30"/>
        <v>14</v>
      </c>
      <c r="T94" s="37">
        <f t="shared" si="30"/>
        <v>15</v>
      </c>
      <c r="U94" s="37">
        <f t="shared" si="30"/>
        <v>16</v>
      </c>
      <c r="V94" s="37">
        <f>U94+1</f>
        <v>17</v>
      </c>
      <c r="W94" s="37">
        <f>V94+1</f>
        <v>18</v>
      </c>
      <c r="X94" s="37">
        <f>W94+1</f>
        <v>19</v>
      </c>
      <c r="Y94" s="37">
        <f>X94+1</f>
        <v>20</v>
      </c>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97"/>
      <c r="BA94" s="197"/>
      <c r="BB94" s="197"/>
      <c r="BC94" s="197"/>
      <c r="BD94" s="197"/>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118"/>
      <c r="CE94" s="118"/>
    </row>
    <row r="95" spans="1:83" s="38" customFormat="1" ht="14" hidden="1" x14ac:dyDescent="0.3">
      <c r="A95" s="37"/>
      <c r="B95" s="37"/>
      <c r="C95" s="37" t="s">
        <v>274</v>
      </c>
      <c r="D95" s="37"/>
      <c r="E95" s="37">
        <v>1</v>
      </c>
      <c r="F95" s="161">
        <f t="shared" ref="F95:Y95" si="31">1/(1+Tx_a)^(F$94-$E$94)</f>
        <v>0.90909090909090906</v>
      </c>
      <c r="G95" s="161">
        <f t="shared" si="31"/>
        <v>0.82644628099173545</v>
      </c>
      <c r="H95" s="161">
        <f t="shared" si="31"/>
        <v>0.75131480090157754</v>
      </c>
      <c r="I95" s="161">
        <f t="shared" si="31"/>
        <v>0.68301345536507052</v>
      </c>
      <c r="J95" s="161">
        <f t="shared" si="31"/>
        <v>0.62092132305915493</v>
      </c>
      <c r="K95" s="161">
        <f t="shared" si="31"/>
        <v>0.56447393005377722</v>
      </c>
      <c r="L95" s="161">
        <f t="shared" si="31"/>
        <v>0.51315811823070645</v>
      </c>
      <c r="M95" s="161">
        <f t="shared" si="31"/>
        <v>0.46650738020973315</v>
      </c>
      <c r="N95" s="161">
        <f t="shared" si="31"/>
        <v>0.42409761837248466</v>
      </c>
      <c r="O95" s="161">
        <f t="shared" si="31"/>
        <v>0.38554328942953148</v>
      </c>
      <c r="P95" s="161">
        <f t="shared" si="31"/>
        <v>0.3504938994813922</v>
      </c>
      <c r="Q95" s="161">
        <f t="shared" si="31"/>
        <v>0.31863081771035656</v>
      </c>
      <c r="R95" s="161">
        <f t="shared" si="31"/>
        <v>0.28966437973668779</v>
      </c>
      <c r="S95" s="161">
        <f t="shared" si="31"/>
        <v>0.26333125430607973</v>
      </c>
      <c r="T95" s="161">
        <f t="shared" si="31"/>
        <v>0.23939204936916339</v>
      </c>
      <c r="U95" s="161">
        <f t="shared" si="31"/>
        <v>0.21762913579014853</v>
      </c>
      <c r="V95" s="161">
        <f t="shared" si="31"/>
        <v>0.19784466890013502</v>
      </c>
      <c r="W95" s="161">
        <f t="shared" si="31"/>
        <v>0.17985878990921364</v>
      </c>
      <c r="X95" s="161">
        <f t="shared" si="31"/>
        <v>0.16350799082655781</v>
      </c>
      <c r="Y95" s="161">
        <f t="shared" si="31"/>
        <v>0.14864362802414349</v>
      </c>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97"/>
      <c r="BA95" s="197"/>
      <c r="BB95" s="197"/>
      <c r="BC95" s="197"/>
      <c r="BD95" s="197"/>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118"/>
      <c r="CE95" s="118"/>
    </row>
    <row r="96" spans="1:83" s="38" customFormat="1" ht="14" hidden="1" x14ac:dyDescent="0.3">
      <c r="A96" s="37"/>
      <c r="B96" s="37"/>
      <c r="C96" s="37"/>
      <c r="D96" s="37"/>
      <c r="E96" s="37"/>
      <c r="F96" s="37"/>
      <c r="G96" s="37"/>
      <c r="H96" s="37"/>
      <c r="I96" s="37"/>
      <c r="J96" s="37"/>
      <c r="K96" s="37"/>
      <c r="L96" s="37"/>
      <c r="M96" s="37"/>
      <c r="N96" s="37"/>
      <c r="O96" s="37"/>
      <c r="P96" s="37"/>
      <c r="Q96" s="37"/>
      <c r="R96" s="37"/>
      <c r="S96" s="37"/>
      <c r="T96" s="37"/>
      <c r="U96" s="37"/>
      <c r="V96" s="37"/>
      <c r="W96" s="37"/>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97"/>
      <c r="BA96" s="197"/>
      <c r="BB96" s="197"/>
      <c r="BC96" s="197"/>
      <c r="BD96" s="197"/>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118"/>
      <c r="CE96" s="118"/>
    </row>
    <row r="97" spans="1:83" s="38" customFormat="1" ht="14" hidden="1" x14ac:dyDescent="0.3">
      <c r="A97" s="37"/>
      <c r="B97" s="37"/>
      <c r="E97" s="37" t="s">
        <v>272</v>
      </c>
      <c r="F97" s="37" t="s">
        <v>142</v>
      </c>
      <c r="G97" s="37"/>
      <c r="H97" s="37" t="s">
        <v>275</v>
      </c>
      <c r="I97" s="37"/>
      <c r="J97" s="37"/>
      <c r="K97" s="37"/>
      <c r="L97" s="37"/>
      <c r="M97" s="37"/>
      <c r="N97" s="37"/>
      <c r="O97" s="37"/>
      <c r="P97" s="37"/>
      <c r="Q97" s="37"/>
      <c r="R97" s="37"/>
      <c r="S97" s="37"/>
      <c r="T97" s="37"/>
      <c r="U97" s="37"/>
      <c r="V97" s="37"/>
      <c r="W97" s="37"/>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97"/>
      <c r="BA97" s="197"/>
      <c r="BB97" s="197"/>
      <c r="BC97" s="197"/>
      <c r="BD97" s="197"/>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118"/>
      <c r="CE97" s="118"/>
    </row>
    <row r="98" spans="1:83" s="38" customFormat="1" ht="14" hidden="1" x14ac:dyDescent="0.3">
      <c r="A98" s="37"/>
      <c r="B98" s="37"/>
      <c r="C98" s="37" t="s">
        <v>273</v>
      </c>
      <c r="D98" s="37"/>
      <c r="E98" s="162"/>
      <c r="F98" s="139"/>
      <c r="G98" s="37"/>
      <c r="H98" s="37"/>
      <c r="I98" s="37"/>
      <c r="J98" s="37"/>
      <c r="K98" s="37"/>
      <c r="L98" s="37"/>
      <c r="M98" s="37"/>
      <c r="N98" s="37"/>
      <c r="O98" s="37"/>
      <c r="P98" s="37"/>
      <c r="Q98" s="37"/>
      <c r="R98" s="37"/>
      <c r="S98" s="37"/>
      <c r="T98" s="37"/>
      <c r="U98" s="37"/>
      <c r="V98" s="37"/>
      <c r="W98" s="37"/>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97"/>
      <c r="BA98" s="197"/>
      <c r="BB98" s="197"/>
      <c r="BC98" s="197"/>
      <c r="BD98" s="197"/>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118"/>
      <c r="CE98" s="118"/>
    </row>
    <row r="99" spans="1:83" s="38" customFormat="1" ht="14" hidden="1" x14ac:dyDescent="0.3">
      <c r="A99" s="37"/>
      <c r="B99" s="37"/>
      <c r="C99" s="37"/>
      <c r="D99" s="37"/>
      <c r="E99" s="162">
        <v>0</v>
      </c>
      <c r="F99" s="139">
        <v>0</v>
      </c>
      <c r="G99" s="37"/>
      <c r="H99" s="139" t="s">
        <v>150</v>
      </c>
      <c r="I99" s="139" t="s">
        <v>150</v>
      </c>
      <c r="J99" s="139" t="s">
        <v>151</v>
      </c>
      <c r="K99" s="139" t="s">
        <v>151</v>
      </c>
      <c r="L99" s="37"/>
      <c r="M99" s="37"/>
      <c r="N99" s="37"/>
      <c r="O99" s="37"/>
      <c r="P99" s="37"/>
      <c r="Q99" s="37"/>
      <c r="R99" s="37"/>
      <c r="S99" s="37"/>
      <c r="T99" s="37"/>
      <c r="U99" s="37"/>
      <c r="V99" s="37"/>
      <c r="W99" s="37"/>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97"/>
      <c r="BA99" s="197"/>
      <c r="BB99" s="197"/>
      <c r="BC99" s="197"/>
      <c r="BD99" s="197"/>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118"/>
      <c r="CE99" s="118"/>
    </row>
    <row r="100" spans="1:83" s="38" customFormat="1" ht="14" hidden="1" x14ac:dyDescent="0.3">
      <c r="A100" s="37"/>
      <c r="B100" s="37"/>
      <c r="C100" s="41" t="s">
        <v>113</v>
      </c>
      <c r="D100" s="41" t="str">
        <f t="shared" ref="D100:D119" si="32">D7</f>
        <v>Prioritaire</v>
      </c>
      <c r="E100" s="163">
        <f t="shared" ref="E100:E119" si="33">-J7</f>
        <v>-50000</v>
      </c>
      <c r="F100" s="164">
        <f t="shared" ref="F100:F119" si="34">IF(L7="",0,L7)</f>
        <v>0</v>
      </c>
      <c r="G100" s="164"/>
      <c r="H100" s="164" t="str">
        <f t="shared" ref="H100:H119" si="35">E7</f>
        <v>Electricité</v>
      </c>
      <c r="I100" s="164">
        <f t="shared" ref="I100:I119" ca="1" si="36">IFERROR(AI7,0)</f>
        <v>29295</v>
      </c>
      <c r="J100" s="164" t="str">
        <f t="shared" ref="J100:J119" si="37">G7</f>
        <v>Gaz naturel</v>
      </c>
      <c r="K100" s="164">
        <f t="shared" ref="K100:K119" ca="1" si="38">IFERROR(AJ7,0)</f>
        <v>16355.555555555555</v>
      </c>
      <c r="L100" s="37"/>
      <c r="M100" s="37"/>
      <c r="N100" s="37"/>
      <c r="O100" s="37"/>
      <c r="P100" s="37"/>
      <c r="Q100" s="37"/>
      <c r="R100" s="37"/>
      <c r="S100" s="37"/>
      <c r="T100" s="37"/>
      <c r="U100" s="37"/>
      <c r="V100" s="37"/>
      <c r="W100" s="37"/>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97"/>
      <c r="BA100" s="197"/>
      <c r="BB100" s="197"/>
      <c r="BC100" s="197"/>
      <c r="BD100" s="197"/>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118"/>
      <c r="CE100" s="118"/>
    </row>
    <row r="101" spans="1:83" s="38" customFormat="1" ht="14" hidden="1" x14ac:dyDescent="0.3">
      <c r="A101" s="37"/>
      <c r="B101" s="37"/>
      <c r="C101" s="41" t="s">
        <v>114</v>
      </c>
      <c r="D101" s="41" t="str">
        <f t="shared" si="32"/>
        <v>Très ambitieux</v>
      </c>
      <c r="E101" s="163">
        <f t="shared" si="33"/>
        <v>-43500</v>
      </c>
      <c r="F101" s="164">
        <f t="shared" si="34"/>
        <v>11970</v>
      </c>
      <c r="G101" s="164"/>
      <c r="H101" s="164" t="str">
        <f t="shared" si="35"/>
        <v>Electricité</v>
      </c>
      <c r="I101" s="164">
        <f t="shared" ca="1" si="36"/>
        <v>5022</v>
      </c>
      <c r="J101" s="164">
        <f t="shared" si="37"/>
        <v>0</v>
      </c>
      <c r="K101" s="164">
        <f t="shared" si="38"/>
        <v>0</v>
      </c>
      <c r="L101" s="37"/>
      <c r="M101" s="37"/>
      <c r="N101" s="37"/>
      <c r="O101" s="37"/>
      <c r="P101" s="37"/>
      <c r="Q101" s="37"/>
      <c r="R101" s="37"/>
      <c r="S101" s="37"/>
      <c r="T101" s="37"/>
      <c r="U101" s="37"/>
      <c r="V101" s="37"/>
      <c r="W101" s="37"/>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97"/>
      <c r="BA101" s="197"/>
      <c r="BB101" s="197"/>
      <c r="BC101" s="197"/>
      <c r="BD101" s="197"/>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118"/>
      <c r="CE101" s="118"/>
    </row>
    <row r="102" spans="1:83" s="38" customFormat="1" ht="14" hidden="1" x14ac:dyDescent="0.3">
      <c r="A102" s="37"/>
      <c r="B102" s="37"/>
      <c r="C102" s="41" t="s">
        <v>115</v>
      </c>
      <c r="D102" s="41" t="str">
        <f t="shared" si="32"/>
        <v>Très ambitieux</v>
      </c>
      <c r="E102" s="163">
        <f t="shared" si="33"/>
        <v>-66000</v>
      </c>
      <c r="F102" s="164">
        <f t="shared" si="34"/>
        <v>12660</v>
      </c>
      <c r="G102" s="164"/>
      <c r="H102" s="164" t="str">
        <f t="shared" si="35"/>
        <v>Electricité</v>
      </c>
      <c r="I102" s="164">
        <f t="shared" ca="1" si="36"/>
        <v>8453.7000000000007</v>
      </c>
      <c r="J102" s="164">
        <f t="shared" si="37"/>
        <v>0</v>
      </c>
      <c r="K102" s="164">
        <f t="shared" si="38"/>
        <v>0</v>
      </c>
      <c r="L102" s="37"/>
      <c r="M102" s="37"/>
      <c r="N102" s="37"/>
      <c r="O102" s="37"/>
      <c r="P102" s="37"/>
      <c r="Q102" s="37"/>
      <c r="R102" s="37"/>
      <c r="S102" s="37"/>
      <c r="T102" s="37"/>
      <c r="U102" s="37"/>
      <c r="V102" s="37"/>
      <c r="W102" s="37"/>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97"/>
      <c r="BA102" s="197"/>
      <c r="BB102" s="197"/>
      <c r="BC102" s="197"/>
      <c r="BD102" s="197"/>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118"/>
      <c r="CE102" s="118"/>
    </row>
    <row r="103" spans="1:83" s="38" customFormat="1" ht="14" hidden="1" x14ac:dyDescent="0.3">
      <c r="A103" s="37"/>
      <c r="B103" s="37"/>
      <c r="C103" s="41" t="s">
        <v>116</v>
      </c>
      <c r="D103" s="41" t="str">
        <f t="shared" si="32"/>
        <v>Très ambitieux</v>
      </c>
      <c r="E103" s="163">
        <f t="shared" si="33"/>
        <v>-49500</v>
      </c>
      <c r="F103" s="164">
        <f t="shared" si="34"/>
        <v>0</v>
      </c>
      <c r="G103" s="164"/>
      <c r="H103" s="164" t="str">
        <f t="shared" si="35"/>
        <v>Electricité</v>
      </c>
      <c r="I103" s="164">
        <f t="shared" ca="1" si="36"/>
        <v>9207</v>
      </c>
      <c r="J103" s="164">
        <f t="shared" si="37"/>
        <v>0</v>
      </c>
      <c r="K103" s="164">
        <f t="shared" si="38"/>
        <v>0</v>
      </c>
      <c r="L103" s="37"/>
      <c r="M103" s="37"/>
      <c r="N103" s="37"/>
      <c r="O103" s="37"/>
      <c r="P103" s="37"/>
      <c r="Q103" s="37"/>
      <c r="R103" s="37"/>
      <c r="S103" s="37"/>
      <c r="T103" s="37"/>
      <c r="U103" s="37"/>
      <c r="V103" s="37"/>
      <c r="W103" s="37"/>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97"/>
      <c r="BA103" s="197"/>
      <c r="BB103" s="197"/>
      <c r="BC103" s="197"/>
      <c r="BD103" s="197"/>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118"/>
      <c r="CE103" s="118"/>
    </row>
    <row r="104" spans="1:83" s="38" customFormat="1" ht="14" hidden="1" x14ac:dyDescent="0.3">
      <c r="A104" s="37"/>
      <c r="B104" s="37"/>
      <c r="C104" s="41" t="s">
        <v>117</v>
      </c>
      <c r="D104" s="41" t="str">
        <f t="shared" si="32"/>
        <v>Prioritaire</v>
      </c>
      <c r="E104" s="163">
        <f t="shared" si="33"/>
        <v>-1500</v>
      </c>
      <c r="F104" s="164">
        <f t="shared" si="34"/>
        <v>0</v>
      </c>
      <c r="G104" s="164"/>
      <c r="H104" s="164" t="str">
        <f t="shared" si="35"/>
        <v>Electricité</v>
      </c>
      <c r="I104" s="164">
        <f t="shared" ca="1" si="36"/>
        <v>8788.5</v>
      </c>
      <c r="J104" s="164">
        <f t="shared" si="37"/>
        <v>0</v>
      </c>
      <c r="K104" s="164">
        <f t="shared" si="38"/>
        <v>0</v>
      </c>
      <c r="L104" s="37"/>
      <c r="M104" s="37"/>
      <c r="N104" s="37"/>
      <c r="O104" s="37"/>
      <c r="P104" s="37"/>
      <c r="Q104" s="37"/>
      <c r="R104" s="37"/>
      <c r="S104" s="37"/>
      <c r="T104" s="37"/>
      <c r="U104" s="37"/>
      <c r="V104" s="37"/>
      <c r="W104" s="37"/>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97"/>
      <c r="BA104" s="197"/>
      <c r="BB104" s="197"/>
      <c r="BC104" s="197"/>
      <c r="BD104" s="197"/>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118"/>
      <c r="CE104" s="118"/>
    </row>
    <row r="105" spans="1:83" s="38" customFormat="1" ht="14" hidden="1" x14ac:dyDescent="0.3">
      <c r="A105" s="37"/>
      <c r="B105" s="37"/>
      <c r="C105" s="41" t="s">
        <v>118</v>
      </c>
      <c r="D105" s="41" t="str">
        <f t="shared" si="32"/>
        <v>Ambitieux</v>
      </c>
      <c r="E105" s="163">
        <f t="shared" si="33"/>
        <v>-62100</v>
      </c>
      <c r="F105" s="164">
        <f t="shared" si="34"/>
        <v>0</v>
      </c>
      <c r="G105" s="164"/>
      <c r="H105" s="164" t="str">
        <f t="shared" si="35"/>
        <v>Gaz naturel</v>
      </c>
      <c r="I105" s="164">
        <f t="shared" ca="1" si="36"/>
        <v>17582.222222222223</v>
      </c>
      <c r="J105" s="164">
        <f t="shared" si="37"/>
        <v>0</v>
      </c>
      <c r="K105" s="164">
        <f t="shared" si="38"/>
        <v>0</v>
      </c>
      <c r="L105" s="37"/>
      <c r="M105" s="37"/>
      <c r="N105" s="37"/>
      <c r="O105" s="37"/>
      <c r="P105" s="37"/>
      <c r="Q105" s="37"/>
      <c r="R105" s="37"/>
      <c r="S105" s="37"/>
      <c r="T105" s="37"/>
      <c r="U105" s="37"/>
      <c r="V105" s="37"/>
      <c r="W105" s="37"/>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97"/>
      <c r="BA105" s="197"/>
      <c r="BB105" s="197"/>
      <c r="BC105" s="197"/>
      <c r="BD105" s="197"/>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118"/>
      <c r="CE105" s="118"/>
    </row>
    <row r="106" spans="1:83" s="38" customFormat="1" ht="14" hidden="1" x14ac:dyDescent="0.3">
      <c r="A106" s="37"/>
      <c r="B106" s="37"/>
      <c r="C106" s="41" t="s">
        <v>123</v>
      </c>
      <c r="D106" s="41" t="str">
        <f t="shared" si="32"/>
        <v>Prioritaire</v>
      </c>
      <c r="E106" s="163">
        <f t="shared" si="33"/>
        <v>-50000</v>
      </c>
      <c r="F106" s="164">
        <f t="shared" si="34"/>
        <v>0</v>
      </c>
      <c r="G106" s="164"/>
      <c r="H106" s="164" t="str">
        <f t="shared" si="35"/>
        <v>Gaz naturel</v>
      </c>
      <c r="I106" s="164">
        <f t="shared" ca="1" si="36"/>
        <v>24533.333333333332</v>
      </c>
      <c r="J106" s="164">
        <f t="shared" si="37"/>
        <v>0</v>
      </c>
      <c r="K106" s="164">
        <f t="shared" si="38"/>
        <v>0</v>
      </c>
      <c r="L106" s="37"/>
      <c r="M106" s="37"/>
      <c r="N106" s="37"/>
      <c r="O106" s="37"/>
      <c r="P106" s="37"/>
      <c r="Q106" s="37"/>
      <c r="R106" s="37"/>
      <c r="S106" s="37"/>
      <c r="T106" s="37"/>
      <c r="U106" s="37"/>
      <c r="V106" s="37"/>
      <c r="W106" s="37"/>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97"/>
      <c r="BA106" s="197"/>
      <c r="BB106" s="197"/>
      <c r="BC106" s="197"/>
      <c r="BD106" s="197"/>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118"/>
      <c r="CE106" s="118"/>
    </row>
    <row r="107" spans="1:83" s="38" customFormat="1" ht="14" hidden="1" x14ac:dyDescent="0.3">
      <c r="A107" s="37"/>
      <c r="B107" s="37"/>
      <c r="C107" s="41" t="s">
        <v>124</v>
      </c>
      <c r="D107" s="41" t="str">
        <f t="shared" si="32"/>
        <v>Prioritaire</v>
      </c>
      <c r="E107" s="163">
        <f t="shared" si="33"/>
        <v>-5300</v>
      </c>
      <c r="F107" s="164">
        <f t="shared" si="34"/>
        <v>1245</v>
      </c>
      <c r="G107" s="164"/>
      <c r="H107" s="164" t="str">
        <f t="shared" si="35"/>
        <v>Gaz naturel</v>
      </c>
      <c r="I107" s="164">
        <f t="shared" ca="1" si="36"/>
        <v>14965.333333333332</v>
      </c>
      <c r="J107" s="164">
        <f t="shared" si="37"/>
        <v>0</v>
      </c>
      <c r="K107" s="164">
        <f t="shared" si="38"/>
        <v>0</v>
      </c>
      <c r="L107" s="37"/>
      <c r="M107" s="37"/>
      <c r="N107" s="37"/>
      <c r="O107" s="37"/>
      <c r="P107" s="37"/>
      <c r="Q107" s="37"/>
      <c r="R107" s="37"/>
      <c r="S107" s="37"/>
      <c r="T107" s="37"/>
      <c r="U107" s="37"/>
      <c r="V107" s="37"/>
      <c r="W107" s="37"/>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97"/>
      <c r="BA107" s="197"/>
      <c r="BB107" s="197"/>
      <c r="BC107" s="197"/>
      <c r="BD107" s="197"/>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118"/>
      <c r="CE107" s="118"/>
    </row>
    <row r="108" spans="1:83" s="38" customFormat="1" ht="14" hidden="1" x14ac:dyDescent="0.3">
      <c r="A108" s="37"/>
      <c r="B108" s="37"/>
      <c r="C108" s="41" t="s">
        <v>125</v>
      </c>
      <c r="D108" s="41" t="str">
        <f t="shared" si="32"/>
        <v>Ambitieux</v>
      </c>
      <c r="E108" s="163">
        <f t="shared" si="33"/>
        <v>-65000</v>
      </c>
      <c r="F108" s="164">
        <f t="shared" si="34"/>
        <v>0</v>
      </c>
      <c r="G108" s="164"/>
      <c r="H108" s="164" t="str">
        <f t="shared" si="35"/>
        <v>Gaz naturel</v>
      </c>
      <c r="I108" s="164">
        <f t="shared" ca="1" si="36"/>
        <v>28622.222222222219</v>
      </c>
      <c r="J108" s="164">
        <f t="shared" si="37"/>
        <v>0</v>
      </c>
      <c r="K108" s="164">
        <f t="shared" si="38"/>
        <v>0</v>
      </c>
      <c r="L108" s="37"/>
      <c r="M108" s="37"/>
      <c r="N108" s="37"/>
      <c r="O108" s="37"/>
      <c r="P108" s="37"/>
      <c r="Q108" s="37"/>
      <c r="R108" s="37"/>
      <c r="S108" s="37"/>
      <c r="T108" s="37"/>
      <c r="U108" s="37"/>
      <c r="V108" s="37"/>
      <c r="W108" s="37"/>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97"/>
      <c r="BA108" s="197"/>
      <c r="BB108" s="197"/>
      <c r="BC108" s="197"/>
      <c r="BD108" s="197"/>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118"/>
      <c r="CE108" s="118"/>
    </row>
    <row r="109" spans="1:83" s="38" customFormat="1" ht="14" hidden="1" x14ac:dyDescent="0.3">
      <c r="A109" s="37"/>
      <c r="B109" s="37"/>
      <c r="C109" s="41" t="s">
        <v>126</v>
      </c>
      <c r="D109" s="41" t="str">
        <f t="shared" si="32"/>
        <v>Prioritaire</v>
      </c>
      <c r="E109" s="163">
        <f t="shared" si="33"/>
        <v>-5000</v>
      </c>
      <c r="F109" s="164">
        <f t="shared" si="34"/>
        <v>0</v>
      </c>
      <c r="G109" s="164"/>
      <c r="H109" s="164" t="str">
        <f t="shared" si="35"/>
        <v>Electricité</v>
      </c>
      <c r="I109" s="164">
        <f t="shared" ca="1" si="36"/>
        <v>8370</v>
      </c>
      <c r="J109" s="164">
        <f t="shared" si="37"/>
        <v>0</v>
      </c>
      <c r="K109" s="164">
        <f t="shared" si="38"/>
        <v>0</v>
      </c>
      <c r="L109" s="37"/>
      <c r="M109" s="37"/>
      <c r="N109" s="37"/>
      <c r="O109" s="37"/>
      <c r="P109" s="37"/>
      <c r="Q109" s="37"/>
      <c r="R109" s="37"/>
      <c r="S109" s="37"/>
      <c r="T109" s="37"/>
      <c r="U109" s="37"/>
      <c r="V109" s="37"/>
      <c r="W109" s="37"/>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97"/>
      <c r="BA109" s="197"/>
      <c r="BB109" s="197"/>
      <c r="BC109" s="197"/>
      <c r="BD109" s="197"/>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118"/>
      <c r="CE109" s="118"/>
    </row>
    <row r="110" spans="1:83" s="38" customFormat="1" ht="14" hidden="1" x14ac:dyDescent="0.3">
      <c r="A110" s="37"/>
      <c r="B110" s="37"/>
      <c r="C110" s="41" t="s">
        <v>284</v>
      </c>
      <c r="D110" s="41" t="str">
        <f t="shared" si="32"/>
        <v>Très ambitieux</v>
      </c>
      <c r="E110" s="163">
        <f t="shared" si="33"/>
        <v>-89000</v>
      </c>
      <c r="F110" s="164">
        <f t="shared" si="34"/>
        <v>8700</v>
      </c>
      <c r="G110" s="164"/>
      <c r="H110" s="164" t="str">
        <f t="shared" si="35"/>
        <v>Electricité</v>
      </c>
      <c r="I110" s="164">
        <f t="shared" ca="1" si="36"/>
        <v>8788.5</v>
      </c>
      <c r="J110" s="164">
        <f t="shared" si="37"/>
        <v>0</v>
      </c>
      <c r="K110" s="164">
        <f t="shared" si="38"/>
        <v>0</v>
      </c>
      <c r="L110" s="37"/>
      <c r="M110" s="37"/>
      <c r="N110" s="37"/>
      <c r="O110" s="37"/>
      <c r="P110" s="37"/>
      <c r="Q110" s="37"/>
      <c r="R110" s="37"/>
      <c r="S110" s="37"/>
      <c r="T110" s="37"/>
      <c r="U110" s="37"/>
      <c r="V110" s="37"/>
      <c r="W110" s="37"/>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97"/>
      <c r="BA110" s="197"/>
      <c r="BB110" s="197"/>
      <c r="BC110" s="197"/>
      <c r="BD110" s="197"/>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118"/>
      <c r="CE110" s="118"/>
    </row>
    <row r="111" spans="1:83" s="38" customFormat="1" ht="14" hidden="1" x14ac:dyDescent="0.3">
      <c r="A111" s="37"/>
      <c r="B111" s="37"/>
      <c r="C111" s="41" t="s">
        <v>285</v>
      </c>
      <c r="D111" s="41" t="str">
        <f t="shared" si="32"/>
        <v>Très ambitieux</v>
      </c>
      <c r="E111" s="163">
        <f t="shared" si="33"/>
        <v>-82000</v>
      </c>
      <c r="F111" s="164">
        <f t="shared" si="34"/>
        <v>0</v>
      </c>
      <c r="G111" s="164"/>
      <c r="H111" s="164" t="str">
        <f t="shared" si="35"/>
        <v>Electricité</v>
      </c>
      <c r="I111" s="164">
        <f t="shared" ca="1" si="36"/>
        <v>17577</v>
      </c>
      <c r="J111" s="164">
        <f t="shared" si="37"/>
        <v>0</v>
      </c>
      <c r="K111" s="164">
        <f t="shared" si="38"/>
        <v>0</v>
      </c>
      <c r="L111" s="37"/>
      <c r="M111" s="37"/>
      <c r="N111" s="37"/>
      <c r="O111" s="37"/>
      <c r="P111" s="37"/>
      <c r="Q111" s="37"/>
      <c r="R111" s="37"/>
      <c r="S111" s="37"/>
      <c r="T111" s="37"/>
      <c r="U111" s="37"/>
      <c r="V111" s="37"/>
      <c r="W111" s="37"/>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97"/>
      <c r="BA111" s="197"/>
      <c r="BB111" s="197"/>
      <c r="BC111" s="197"/>
      <c r="BD111" s="197"/>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118"/>
      <c r="CE111" s="118"/>
    </row>
    <row r="112" spans="1:83" s="38" customFormat="1" ht="14" hidden="1" x14ac:dyDescent="0.3">
      <c r="A112" s="37"/>
      <c r="B112" s="37"/>
      <c r="C112" s="41" t="s">
        <v>286</v>
      </c>
      <c r="D112" s="41" t="str">
        <f t="shared" si="32"/>
        <v>Non priorisé</v>
      </c>
      <c r="E112" s="163">
        <f t="shared" si="33"/>
        <v>0</v>
      </c>
      <c r="F112" s="164">
        <f t="shared" si="34"/>
        <v>0</v>
      </c>
      <c r="G112" s="164"/>
      <c r="H112" s="164" t="str">
        <f t="shared" si="35"/>
        <v>Gaz naturel</v>
      </c>
      <c r="I112" s="164">
        <f t="shared" ca="1" si="36"/>
        <v>2248.8888888888887</v>
      </c>
      <c r="J112" s="164">
        <f t="shared" si="37"/>
        <v>0</v>
      </c>
      <c r="K112" s="164">
        <f t="shared" si="38"/>
        <v>0</v>
      </c>
      <c r="L112" s="37"/>
      <c r="M112" s="37"/>
      <c r="N112" s="37"/>
      <c r="O112" s="37"/>
      <c r="P112" s="37"/>
      <c r="Q112" s="37"/>
      <c r="R112" s="37"/>
      <c r="S112" s="37"/>
      <c r="T112" s="37"/>
      <c r="U112" s="37"/>
      <c r="V112" s="37"/>
      <c r="W112" s="37"/>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97"/>
      <c r="BA112" s="197"/>
      <c r="BB112" s="197"/>
      <c r="BC112" s="197"/>
      <c r="BD112" s="197"/>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118"/>
      <c r="CE112" s="118"/>
    </row>
    <row r="113" spans="1:83" s="38" customFormat="1" ht="14" hidden="1" x14ac:dyDescent="0.3">
      <c r="A113" s="37"/>
      <c r="B113" s="37"/>
      <c r="C113" s="41" t="s">
        <v>287</v>
      </c>
      <c r="D113" s="41">
        <f t="shared" si="32"/>
        <v>0</v>
      </c>
      <c r="E113" s="163">
        <f t="shared" si="33"/>
        <v>0</v>
      </c>
      <c r="F113" s="164">
        <f t="shared" si="34"/>
        <v>0</v>
      </c>
      <c r="G113" s="164"/>
      <c r="H113" s="164">
        <f t="shared" si="35"/>
        <v>0</v>
      </c>
      <c r="I113" s="164">
        <f t="shared" si="36"/>
        <v>0</v>
      </c>
      <c r="J113" s="164">
        <f t="shared" si="37"/>
        <v>0</v>
      </c>
      <c r="K113" s="164">
        <f t="shared" si="38"/>
        <v>0</v>
      </c>
      <c r="L113" s="37"/>
      <c r="M113" s="37"/>
      <c r="N113" s="37"/>
      <c r="O113" s="37"/>
      <c r="P113" s="37"/>
      <c r="Q113" s="37"/>
      <c r="R113" s="37"/>
      <c r="S113" s="37"/>
      <c r="T113" s="37"/>
      <c r="U113" s="37"/>
      <c r="V113" s="37"/>
      <c r="W113" s="37"/>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97"/>
      <c r="BA113" s="197"/>
      <c r="BB113" s="197"/>
      <c r="BC113" s="197"/>
      <c r="BD113" s="197"/>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118"/>
      <c r="CE113" s="118"/>
    </row>
    <row r="114" spans="1:83" s="38" customFormat="1" ht="14" hidden="1" x14ac:dyDescent="0.3">
      <c r="A114" s="37"/>
      <c r="B114" s="37"/>
      <c r="C114" s="41" t="s">
        <v>288</v>
      </c>
      <c r="D114" s="41">
        <f t="shared" si="32"/>
        <v>0</v>
      </c>
      <c r="E114" s="163">
        <f t="shared" si="33"/>
        <v>0</v>
      </c>
      <c r="F114" s="164">
        <f t="shared" si="34"/>
        <v>0</v>
      </c>
      <c r="G114" s="164"/>
      <c r="H114" s="164">
        <f t="shared" si="35"/>
        <v>0</v>
      </c>
      <c r="I114" s="164">
        <f t="shared" si="36"/>
        <v>0</v>
      </c>
      <c r="J114" s="164">
        <f t="shared" si="37"/>
        <v>0</v>
      </c>
      <c r="K114" s="164">
        <f t="shared" si="38"/>
        <v>0</v>
      </c>
      <c r="L114" s="37"/>
      <c r="M114" s="37"/>
      <c r="N114" s="37"/>
      <c r="O114" s="37"/>
      <c r="P114" s="37"/>
      <c r="Q114" s="37"/>
      <c r="R114" s="37"/>
      <c r="S114" s="37"/>
      <c r="T114" s="37"/>
      <c r="U114" s="37"/>
      <c r="V114" s="37"/>
      <c r="W114" s="37"/>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97"/>
      <c r="BA114" s="197"/>
      <c r="BB114" s="197"/>
      <c r="BC114" s="197"/>
      <c r="BD114" s="197"/>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118"/>
      <c r="CE114" s="118"/>
    </row>
    <row r="115" spans="1:83" s="38" customFormat="1" ht="14" hidden="1" x14ac:dyDescent="0.3">
      <c r="A115" s="37"/>
      <c r="B115" s="37"/>
      <c r="C115" s="41" t="s">
        <v>289</v>
      </c>
      <c r="D115" s="41">
        <f t="shared" si="32"/>
        <v>0</v>
      </c>
      <c r="E115" s="163">
        <f t="shared" si="33"/>
        <v>0</v>
      </c>
      <c r="F115" s="164">
        <f t="shared" si="34"/>
        <v>0</v>
      </c>
      <c r="G115" s="164"/>
      <c r="H115" s="164">
        <f t="shared" si="35"/>
        <v>0</v>
      </c>
      <c r="I115" s="164">
        <f t="shared" si="36"/>
        <v>0</v>
      </c>
      <c r="J115" s="164">
        <f t="shared" si="37"/>
        <v>0</v>
      </c>
      <c r="K115" s="164">
        <f t="shared" si="38"/>
        <v>0</v>
      </c>
      <c r="L115" s="37"/>
      <c r="M115" s="37"/>
      <c r="N115" s="37"/>
      <c r="O115" s="37"/>
      <c r="P115" s="37"/>
      <c r="Q115" s="37"/>
      <c r="R115" s="37"/>
      <c r="S115" s="37"/>
      <c r="T115" s="37"/>
      <c r="U115" s="37"/>
      <c r="V115" s="37"/>
      <c r="W115" s="37"/>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97"/>
      <c r="BA115" s="197"/>
      <c r="BB115" s="197"/>
      <c r="BC115" s="197"/>
      <c r="BD115" s="197"/>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118"/>
      <c r="CE115" s="118"/>
    </row>
    <row r="116" spans="1:83" s="38" customFormat="1" ht="14" hidden="1" x14ac:dyDescent="0.3">
      <c r="A116" s="37"/>
      <c r="B116" s="37"/>
      <c r="C116" s="41" t="s">
        <v>290</v>
      </c>
      <c r="D116" s="41">
        <f t="shared" si="32"/>
        <v>0</v>
      </c>
      <c r="E116" s="163">
        <f t="shared" si="33"/>
        <v>0</v>
      </c>
      <c r="F116" s="164">
        <f t="shared" si="34"/>
        <v>0</v>
      </c>
      <c r="G116" s="164"/>
      <c r="H116" s="164">
        <f t="shared" si="35"/>
        <v>0</v>
      </c>
      <c r="I116" s="164">
        <f t="shared" si="36"/>
        <v>0</v>
      </c>
      <c r="J116" s="164">
        <f t="shared" si="37"/>
        <v>0</v>
      </c>
      <c r="K116" s="164">
        <f t="shared" si="38"/>
        <v>0</v>
      </c>
      <c r="L116" s="37"/>
      <c r="M116" s="37"/>
      <c r="N116" s="37"/>
      <c r="O116" s="37"/>
      <c r="P116" s="37"/>
      <c r="Q116" s="37"/>
      <c r="R116" s="37"/>
      <c r="S116" s="37"/>
      <c r="T116" s="37"/>
      <c r="U116" s="37"/>
      <c r="V116" s="37"/>
      <c r="W116" s="37"/>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97"/>
      <c r="BA116" s="197"/>
      <c r="BB116" s="197"/>
      <c r="BC116" s="197"/>
      <c r="BD116" s="197"/>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118"/>
      <c r="CE116" s="118"/>
    </row>
    <row r="117" spans="1:83" s="38" customFormat="1" ht="14" hidden="1" x14ac:dyDescent="0.3">
      <c r="A117" s="37"/>
      <c r="B117" s="37"/>
      <c r="C117" s="41" t="s">
        <v>291</v>
      </c>
      <c r="D117" s="41">
        <f t="shared" si="32"/>
        <v>0</v>
      </c>
      <c r="E117" s="163">
        <f t="shared" si="33"/>
        <v>0</v>
      </c>
      <c r="F117" s="164">
        <f t="shared" si="34"/>
        <v>0</v>
      </c>
      <c r="G117" s="164"/>
      <c r="H117" s="164">
        <f t="shared" si="35"/>
        <v>0</v>
      </c>
      <c r="I117" s="164">
        <f t="shared" si="36"/>
        <v>0</v>
      </c>
      <c r="J117" s="164">
        <f t="shared" si="37"/>
        <v>0</v>
      </c>
      <c r="K117" s="164">
        <f t="shared" si="38"/>
        <v>0</v>
      </c>
      <c r="L117" s="37"/>
      <c r="M117" s="37"/>
      <c r="N117" s="37"/>
      <c r="O117" s="37"/>
      <c r="P117" s="37"/>
      <c r="Q117" s="37"/>
      <c r="R117" s="37"/>
      <c r="S117" s="37"/>
      <c r="T117" s="37"/>
      <c r="U117" s="37"/>
      <c r="V117" s="37"/>
      <c r="W117" s="37"/>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97"/>
      <c r="BA117" s="197"/>
      <c r="BB117" s="197"/>
      <c r="BC117" s="197"/>
      <c r="BD117" s="197"/>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118"/>
      <c r="CE117" s="118"/>
    </row>
    <row r="118" spans="1:83" s="38" customFormat="1" ht="14" hidden="1" x14ac:dyDescent="0.3">
      <c r="A118" s="37"/>
      <c r="B118" s="37"/>
      <c r="C118" s="41" t="s">
        <v>292</v>
      </c>
      <c r="D118" s="41">
        <f t="shared" si="32"/>
        <v>0</v>
      </c>
      <c r="E118" s="163">
        <f t="shared" si="33"/>
        <v>0</v>
      </c>
      <c r="F118" s="164">
        <f t="shared" si="34"/>
        <v>0</v>
      </c>
      <c r="G118" s="164"/>
      <c r="H118" s="164">
        <f t="shared" si="35"/>
        <v>0</v>
      </c>
      <c r="I118" s="164">
        <f t="shared" si="36"/>
        <v>0</v>
      </c>
      <c r="J118" s="164">
        <f t="shared" si="37"/>
        <v>0</v>
      </c>
      <c r="K118" s="164">
        <f t="shared" si="38"/>
        <v>0</v>
      </c>
      <c r="L118" s="37"/>
      <c r="M118" s="37"/>
      <c r="N118" s="37"/>
      <c r="O118" s="37"/>
      <c r="P118" s="37"/>
      <c r="Q118" s="37"/>
      <c r="R118" s="37"/>
      <c r="S118" s="37"/>
      <c r="T118" s="37"/>
      <c r="U118" s="37"/>
      <c r="V118" s="37"/>
      <c r="W118" s="37"/>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97"/>
      <c r="BA118" s="197"/>
      <c r="BB118" s="197"/>
      <c r="BC118" s="197"/>
      <c r="BD118" s="197"/>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118"/>
      <c r="CE118" s="118"/>
    </row>
    <row r="119" spans="1:83" s="38" customFormat="1" ht="14" hidden="1" x14ac:dyDescent="0.3">
      <c r="A119" s="37"/>
      <c r="B119" s="37"/>
      <c r="C119" s="41" t="s">
        <v>293</v>
      </c>
      <c r="D119" s="41">
        <f t="shared" si="32"/>
        <v>0</v>
      </c>
      <c r="E119" s="163">
        <f t="shared" si="33"/>
        <v>0</v>
      </c>
      <c r="F119" s="164">
        <f t="shared" si="34"/>
        <v>0</v>
      </c>
      <c r="G119" s="164"/>
      <c r="H119" s="164">
        <f t="shared" si="35"/>
        <v>0</v>
      </c>
      <c r="I119" s="164">
        <f t="shared" si="36"/>
        <v>0</v>
      </c>
      <c r="J119" s="164">
        <f t="shared" si="37"/>
        <v>0</v>
      </c>
      <c r="K119" s="164">
        <f t="shared" si="38"/>
        <v>0</v>
      </c>
      <c r="L119" s="37"/>
      <c r="M119" s="37"/>
      <c r="N119" s="37"/>
      <c r="O119" s="37"/>
      <c r="P119" s="37"/>
      <c r="Q119" s="37"/>
      <c r="R119" s="37"/>
      <c r="S119" s="37"/>
      <c r="T119" s="37"/>
      <c r="U119" s="37"/>
      <c r="V119" s="37"/>
      <c r="W119" s="139"/>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97"/>
      <c r="BA119" s="197"/>
      <c r="BB119" s="197"/>
      <c r="BC119" s="197"/>
      <c r="BD119" s="197"/>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118"/>
      <c r="CE119" s="118"/>
    </row>
    <row r="120" spans="1:83" s="141" customFormat="1" ht="14" hidden="1" x14ac:dyDescent="0.3">
      <c r="A120" s="37"/>
      <c r="B120" s="37"/>
      <c r="C120" s="143" t="s">
        <v>108</v>
      </c>
      <c r="D120" s="143" t="s">
        <v>108</v>
      </c>
      <c r="E120" s="165">
        <f>SUM(E100:E119)</f>
        <v>-568900</v>
      </c>
      <c r="F120" s="166">
        <f>SUM(F100:F119)</f>
        <v>34575</v>
      </c>
      <c r="G120" s="164"/>
      <c r="H120" s="37"/>
      <c r="I120" s="166">
        <f ca="1">SUM(I100:I119)</f>
        <v>183453.69999999995</v>
      </c>
      <c r="K120" s="166">
        <f ca="1">SUM(K100:K119)</f>
        <v>16355.555555555555</v>
      </c>
      <c r="L120" s="37"/>
      <c r="M120" s="37"/>
      <c r="N120" s="37"/>
      <c r="O120" s="37"/>
      <c r="P120" s="37"/>
      <c r="Q120" s="37"/>
      <c r="R120" s="37"/>
      <c r="S120" s="37"/>
      <c r="T120" s="37"/>
      <c r="U120" s="37"/>
      <c r="V120" s="37"/>
      <c r="W120" s="37"/>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6"/>
      <c r="AY120" s="236"/>
      <c r="AZ120" s="237"/>
      <c r="BA120" s="237"/>
      <c r="BB120" s="237"/>
      <c r="BC120" s="237"/>
      <c r="BD120" s="237"/>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236"/>
      <c r="CE120" s="236"/>
    </row>
    <row r="121" spans="1:83" s="38" customFormat="1" ht="14" hidden="1" x14ac:dyDescent="0.3">
      <c r="A121" s="37"/>
      <c r="B121" s="37"/>
      <c r="C121" s="142" t="s">
        <v>281</v>
      </c>
      <c r="D121" s="142" t="s">
        <v>281</v>
      </c>
      <c r="E121" s="165">
        <f t="shared" ref="E121:F124" si="39">SUMPRODUCT(($D$100:$D$119=$C121)*E$100:E$119)</f>
        <v>-111800</v>
      </c>
      <c r="F121" s="166">
        <f t="shared" si="39"/>
        <v>1245</v>
      </c>
      <c r="G121" s="164"/>
      <c r="H121" s="37"/>
      <c r="I121" s="37"/>
      <c r="J121" s="37"/>
      <c r="K121" s="37"/>
      <c r="L121" s="37"/>
      <c r="M121" s="37"/>
      <c r="N121" s="37"/>
      <c r="O121" s="37"/>
      <c r="P121" s="37"/>
      <c r="Q121" s="37"/>
      <c r="R121" s="37"/>
      <c r="S121" s="37"/>
      <c r="T121" s="37"/>
      <c r="U121" s="37"/>
      <c r="V121" s="37"/>
      <c r="W121" s="37"/>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97"/>
      <c r="BA121" s="197"/>
      <c r="BB121" s="197"/>
      <c r="BC121" s="197"/>
      <c r="BD121" s="197"/>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118"/>
      <c r="CE121" s="118"/>
    </row>
    <row r="122" spans="1:83" s="38" customFormat="1" ht="14" hidden="1" x14ac:dyDescent="0.3">
      <c r="A122" s="37"/>
      <c r="B122" s="37"/>
      <c r="C122" s="41" t="s">
        <v>282</v>
      </c>
      <c r="D122" s="41" t="s">
        <v>282</v>
      </c>
      <c r="E122" s="163">
        <f t="shared" si="39"/>
        <v>-127100</v>
      </c>
      <c r="F122" s="164">
        <f t="shared" si="39"/>
        <v>0</v>
      </c>
      <c r="G122" s="164"/>
      <c r="H122" s="37"/>
      <c r="I122" s="37"/>
      <c r="J122" s="37"/>
      <c r="K122" s="37"/>
      <c r="L122" s="37"/>
      <c r="M122" s="37"/>
      <c r="N122" s="37"/>
      <c r="O122" s="37"/>
      <c r="P122" s="37"/>
      <c r="Q122" s="37"/>
      <c r="R122" s="37"/>
      <c r="S122" s="37"/>
      <c r="T122" s="37"/>
      <c r="U122" s="37"/>
      <c r="V122" s="37"/>
      <c r="W122" s="37"/>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97"/>
      <c r="BA122" s="197"/>
      <c r="BB122" s="197"/>
      <c r="BC122" s="197"/>
      <c r="BD122" s="197"/>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118"/>
      <c r="CE122" s="118"/>
    </row>
    <row r="123" spans="1:83" s="38" customFormat="1" ht="14" hidden="1" x14ac:dyDescent="0.3">
      <c r="A123" s="37"/>
      <c r="B123" s="37"/>
      <c r="C123" s="41" t="s">
        <v>283</v>
      </c>
      <c r="D123" s="41" t="s">
        <v>283</v>
      </c>
      <c r="E123" s="163">
        <f t="shared" si="39"/>
        <v>-330000</v>
      </c>
      <c r="F123" s="164">
        <f t="shared" si="39"/>
        <v>33330</v>
      </c>
      <c r="G123" s="164"/>
      <c r="H123" s="37"/>
      <c r="I123" s="37"/>
      <c r="J123" s="37"/>
      <c r="K123" s="37"/>
      <c r="L123" s="37"/>
      <c r="M123" s="37"/>
      <c r="N123" s="37"/>
      <c r="O123" s="37"/>
      <c r="P123" s="37"/>
      <c r="Q123" s="37"/>
      <c r="R123" s="37"/>
      <c r="S123" s="37"/>
      <c r="T123" s="37"/>
      <c r="U123" s="37"/>
      <c r="V123" s="37"/>
      <c r="W123" s="37"/>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97"/>
      <c r="BA123" s="197"/>
      <c r="BB123" s="197"/>
      <c r="BC123" s="197"/>
      <c r="BD123" s="197"/>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118"/>
      <c r="CE123" s="118"/>
    </row>
    <row r="124" spans="1:83" s="38" customFormat="1" ht="14" hidden="1" x14ac:dyDescent="0.3">
      <c r="A124" s="37"/>
      <c r="B124" s="37"/>
      <c r="C124" s="41"/>
      <c r="D124" s="41" t="s">
        <v>296</v>
      </c>
      <c r="E124" s="163">
        <f t="shared" si="39"/>
        <v>0</v>
      </c>
      <c r="F124" s="164">
        <f t="shared" si="39"/>
        <v>0</v>
      </c>
      <c r="G124" s="164"/>
      <c r="H124" s="37"/>
      <c r="I124" s="37"/>
      <c r="J124" s="37"/>
      <c r="K124" s="37"/>
      <c r="L124" s="37"/>
      <c r="M124" s="37"/>
      <c r="N124" s="37"/>
      <c r="O124" s="37"/>
      <c r="P124" s="37"/>
      <c r="Q124" s="37"/>
      <c r="R124" s="37"/>
      <c r="S124" s="37"/>
      <c r="T124" s="37"/>
      <c r="U124" s="37"/>
      <c r="V124" s="37"/>
      <c r="W124" s="37"/>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97"/>
      <c r="BA124" s="197"/>
      <c r="BB124" s="197"/>
      <c r="BC124" s="197"/>
      <c r="BD124" s="197"/>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118"/>
      <c r="CE124" s="118"/>
    </row>
    <row r="125" spans="1:83" s="38" customFormat="1" ht="14" hidden="1" x14ac:dyDescent="0.3">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97"/>
      <c r="BA125" s="197"/>
      <c r="BB125" s="197"/>
      <c r="BC125" s="197"/>
      <c r="BD125" s="197"/>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118"/>
      <c r="CE125" s="118"/>
    </row>
    <row r="126" spans="1:83" s="38" customFormat="1" ht="14" hidden="1" x14ac:dyDescent="0.3">
      <c r="A126" s="37"/>
      <c r="B126" s="37"/>
      <c r="C126" s="37" t="s">
        <v>275</v>
      </c>
      <c r="D126" s="37"/>
      <c r="E126" s="37"/>
      <c r="F126" s="37"/>
      <c r="G126" s="37"/>
      <c r="H126" s="37"/>
      <c r="I126" s="37"/>
      <c r="J126" s="37"/>
      <c r="K126" s="37"/>
      <c r="L126" s="37"/>
      <c r="M126" s="37"/>
      <c r="N126" s="37"/>
      <c r="O126" s="37"/>
      <c r="P126" s="37"/>
      <c r="Q126" s="37"/>
      <c r="R126" s="37"/>
      <c r="S126" s="37"/>
      <c r="T126" s="37"/>
      <c r="U126" s="37"/>
      <c r="V126" s="37"/>
      <c r="W126" s="37"/>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97"/>
      <c r="BA126" s="197"/>
      <c r="BB126" s="197"/>
      <c r="BC126" s="197"/>
      <c r="BD126" s="197"/>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118"/>
      <c r="CE126" s="118"/>
    </row>
    <row r="127" spans="1:83" s="38" customFormat="1" ht="14" hidden="1" x14ac:dyDescent="0.3">
      <c r="A127" s="37"/>
      <c r="B127" s="37"/>
      <c r="C127" s="37" t="s">
        <v>276</v>
      </c>
      <c r="D127" s="37"/>
      <c r="E127" s="37"/>
      <c r="F127" s="37"/>
      <c r="G127" s="37"/>
      <c r="H127" s="37"/>
      <c r="I127" s="37"/>
      <c r="J127" s="37"/>
      <c r="K127" s="37"/>
      <c r="L127" s="37"/>
      <c r="M127" s="37"/>
      <c r="N127" s="37"/>
      <c r="O127" s="37"/>
      <c r="P127" s="37"/>
      <c r="Q127" s="37"/>
      <c r="R127" s="37"/>
      <c r="S127" s="37"/>
      <c r="T127" s="37"/>
      <c r="U127" s="37"/>
      <c r="V127" s="37"/>
      <c r="W127" s="37"/>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97"/>
      <c r="BA127" s="197"/>
      <c r="BB127" s="197"/>
      <c r="BC127" s="197"/>
      <c r="BD127" s="197"/>
      <c r="BE127" s="60"/>
      <c r="BF127" s="60"/>
      <c r="BG127" s="60"/>
      <c r="BH127" s="60"/>
      <c r="BI127" s="60"/>
      <c r="BJ127" s="60"/>
      <c r="BK127" s="60"/>
      <c r="BL127" s="60"/>
      <c r="BM127" s="60"/>
      <c r="BN127" s="60"/>
      <c r="BO127" s="60"/>
      <c r="BP127" s="60"/>
      <c r="BQ127" s="60"/>
      <c r="BR127" s="60"/>
      <c r="BS127" s="60"/>
      <c r="BT127" s="60"/>
      <c r="BU127" s="60"/>
      <c r="BV127" s="60"/>
      <c r="BW127" s="60"/>
      <c r="BX127" s="60"/>
      <c r="BY127" s="60"/>
      <c r="BZ127" s="60"/>
      <c r="CA127" s="60"/>
      <c r="CB127" s="60"/>
      <c r="CC127" s="60"/>
      <c r="CD127" s="118"/>
      <c r="CE127" s="118"/>
    </row>
    <row r="128" spans="1:83" s="38" customFormat="1" ht="14" hidden="1" x14ac:dyDescent="0.3">
      <c r="A128" s="139"/>
      <c r="B128" s="139"/>
      <c r="C128" s="167"/>
      <c r="D128" s="168"/>
      <c r="E128" s="139">
        <v>0</v>
      </c>
      <c r="F128" s="139">
        <f t="shared" ref="F128:U128" si="40">E128+1</f>
        <v>1</v>
      </c>
      <c r="G128" s="139">
        <f t="shared" si="40"/>
        <v>2</v>
      </c>
      <c r="H128" s="139">
        <f t="shared" si="40"/>
        <v>3</v>
      </c>
      <c r="I128" s="139">
        <f t="shared" si="40"/>
        <v>4</v>
      </c>
      <c r="J128" s="139">
        <f t="shared" si="40"/>
        <v>5</v>
      </c>
      <c r="K128" s="139">
        <f t="shared" si="40"/>
        <v>6</v>
      </c>
      <c r="L128" s="139">
        <f t="shared" si="40"/>
        <v>7</v>
      </c>
      <c r="M128" s="139">
        <f t="shared" si="40"/>
        <v>8</v>
      </c>
      <c r="N128" s="139">
        <f t="shared" si="40"/>
        <v>9</v>
      </c>
      <c r="O128" s="139">
        <f t="shared" si="40"/>
        <v>10</v>
      </c>
      <c r="P128" s="139">
        <f t="shared" si="40"/>
        <v>11</v>
      </c>
      <c r="Q128" s="139">
        <f t="shared" si="40"/>
        <v>12</v>
      </c>
      <c r="R128" s="139">
        <f t="shared" si="40"/>
        <v>13</v>
      </c>
      <c r="S128" s="139">
        <f t="shared" si="40"/>
        <v>14</v>
      </c>
      <c r="T128" s="139">
        <f t="shared" si="40"/>
        <v>15</v>
      </c>
      <c r="U128" s="139">
        <f t="shared" si="40"/>
        <v>16</v>
      </c>
      <c r="V128" s="139">
        <f>U128+1</f>
        <v>17</v>
      </c>
      <c r="W128" s="139">
        <f>V128+1</f>
        <v>18</v>
      </c>
      <c r="X128" s="139">
        <f>W128+1</f>
        <v>19</v>
      </c>
      <c r="Y128" s="139">
        <f>X128+1</f>
        <v>20</v>
      </c>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97"/>
      <c r="BA128" s="197"/>
      <c r="BB128" s="197"/>
      <c r="BC128" s="197"/>
      <c r="BD128" s="197"/>
      <c r="BE128" s="60"/>
      <c r="BF128" s="60"/>
      <c r="BG128" s="60"/>
      <c r="BH128" s="60"/>
      <c r="BI128" s="60"/>
      <c r="BJ128" s="60"/>
      <c r="BK128" s="60"/>
      <c r="BL128" s="60"/>
      <c r="BM128" s="60"/>
      <c r="BN128" s="60"/>
      <c r="BO128" s="60"/>
      <c r="BP128" s="60"/>
      <c r="BQ128" s="60"/>
      <c r="BR128" s="60"/>
      <c r="BS128" s="60"/>
      <c r="BT128" s="60"/>
      <c r="BU128" s="60"/>
      <c r="BV128" s="60"/>
      <c r="BW128" s="60"/>
      <c r="BX128" s="60"/>
      <c r="BY128" s="60"/>
      <c r="BZ128" s="60"/>
      <c r="CA128" s="60"/>
      <c r="CB128" s="60"/>
      <c r="CC128" s="60"/>
      <c r="CD128" s="118"/>
      <c r="CE128" s="118"/>
    </row>
    <row r="129" spans="1:83" s="38" customFormat="1" ht="14" hidden="1" x14ac:dyDescent="0.3">
      <c r="A129" s="37"/>
      <c r="B129" s="37"/>
      <c r="C129" s="142" t="s">
        <v>113</v>
      </c>
      <c r="D129" s="144" t="str">
        <f t="shared" ref="D129:D148" si="41">D7</f>
        <v>Prioritaire</v>
      </c>
      <c r="E129" s="166">
        <v>0</v>
      </c>
      <c r="F129" s="166">
        <f t="shared" ref="F129:F148" ca="1" si="42">SUMPRODUCT(($H100=$C$79:$C$86)*F$79:F$86)*SUMPRODUCT(($C100=$C$129:$C$148)*$I$100:$I$119)+SUMPRODUCT(($J100=$C$79:$C$86)*F$79:F$86)*SUMPRODUCT(($C100=$C$129:$C$148)*$K$100:$K$119)</f>
        <v>45650.555555555555</v>
      </c>
      <c r="G129" s="166">
        <f t="shared" ref="G129:Y129" ca="1" si="43">SUMPRODUCT(($H100=$C$79:$C$86)*G$79:G$86)*SUMPRODUCT(($C100=$C$129:$C$148)*$I$100:$I$119)+SUMPRODUCT(($J100=$C$79:$C$86)*G$79:G$86)*SUMPRODUCT(($C100=$C$129:$C$148)*$K$100:$K$119)</f>
        <v>47933.083333333328</v>
      </c>
      <c r="H129" s="166">
        <f t="shared" ca="1" si="43"/>
        <v>50329.737500000003</v>
      </c>
      <c r="I129" s="166">
        <f t="shared" ca="1" si="43"/>
        <v>52846.224375000005</v>
      </c>
      <c r="J129" s="166">
        <f t="shared" ca="1" si="43"/>
        <v>55488.535593750014</v>
      </c>
      <c r="K129" s="166">
        <f t="shared" ca="1" si="43"/>
        <v>58262.96237343752</v>
      </c>
      <c r="L129" s="166">
        <f t="shared" ca="1" si="43"/>
        <v>61176.110492109394</v>
      </c>
      <c r="M129" s="166">
        <f t="shared" ca="1" si="43"/>
        <v>64234.916016714866</v>
      </c>
      <c r="N129" s="166">
        <f t="shared" ca="1" si="43"/>
        <v>67446.661817550601</v>
      </c>
      <c r="O129" s="166">
        <f t="shared" ca="1" si="43"/>
        <v>70818.99490842814</v>
      </c>
      <c r="P129" s="166">
        <f t="shared" ca="1" si="43"/>
        <v>74359.944653849539</v>
      </c>
      <c r="Q129" s="166">
        <f t="shared" ca="1" si="43"/>
        <v>78077.94188654203</v>
      </c>
      <c r="R129" s="166">
        <f t="shared" ca="1" si="43"/>
        <v>81981.838980869143</v>
      </c>
      <c r="S129" s="166">
        <f t="shared" ca="1" si="43"/>
        <v>86080.930929912603</v>
      </c>
      <c r="T129" s="166">
        <f t="shared" ca="1" si="43"/>
        <v>90384.977476408239</v>
      </c>
      <c r="U129" s="166">
        <f t="shared" ca="1" si="43"/>
        <v>94904.226350228651</v>
      </c>
      <c r="V129" s="166">
        <f t="shared" ca="1" si="43"/>
        <v>99649.437667740101</v>
      </c>
      <c r="W129" s="166">
        <f t="shared" ca="1" si="43"/>
        <v>104631.90955112712</v>
      </c>
      <c r="X129" s="166">
        <f t="shared" ca="1" si="43"/>
        <v>109863.50502868346</v>
      </c>
      <c r="Y129" s="166">
        <f t="shared" ca="1" si="43"/>
        <v>115356.68028011764</v>
      </c>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97"/>
      <c r="BA129" s="197"/>
      <c r="BB129" s="197"/>
      <c r="BC129" s="197"/>
      <c r="BD129" s="197"/>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118"/>
      <c r="CE129" s="118"/>
    </row>
    <row r="130" spans="1:83" s="38" customFormat="1" ht="14" hidden="1" x14ac:dyDescent="0.3">
      <c r="A130" s="37"/>
      <c r="B130" s="37"/>
      <c r="C130" s="41" t="s">
        <v>114</v>
      </c>
      <c r="D130" s="145" t="str">
        <f t="shared" si="41"/>
        <v>Très ambitieux</v>
      </c>
      <c r="E130" s="164">
        <v>0</v>
      </c>
      <c r="F130" s="164">
        <f t="shared" ca="1" si="42"/>
        <v>5022</v>
      </c>
      <c r="G130" s="164">
        <f t="shared" ref="G130:Y130" ca="1" si="44">SUMPRODUCT(($H101=$C$79:$C$86)*G$79:G$86)*SUMPRODUCT(($C101=$C$129:$C$148)*$I$100:$I$119)+SUMPRODUCT(($J101=$C$79:$C$86)*G$79:G$86)*SUMPRODUCT(($C101=$C$129:$C$148)*$K$100:$K$119)</f>
        <v>5273.1</v>
      </c>
      <c r="H130" s="164">
        <f t="shared" ca="1" si="44"/>
        <v>5536.7550000000001</v>
      </c>
      <c r="I130" s="164">
        <f t="shared" ca="1" si="44"/>
        <v>5813.5927500000007</v>
      </c>
      <c r="J130" s="164">
        <f t="shared" ca="1" si="44"/>
        <v>6104.2723875000011</v>
      </c>
      <c r="K130" s="164">
        <f t="shared" ca="1" si="44"/>
        <v>6409.4860068750022</v>
      </c>
      <c r="L130" s="164">
        <f t="shared" ca="1" si="44"/>
        <v>6729.960307218752</v>
      </c>
      <c r="M130" s="164">
        <f t="shared" ca="1" si="44"/>
        <v>7066.4583225796896</v>
      </c>
      <c r="N130" s="164">
        <f t="shared" ca="1" si="44"/>
        <v>7419.7812387086742</v>
      </c>
      <c r="O130" s="164">
        <f t="shared" ca="1" si="44"/>
        <v>7790.7703006441088</v>
      </c>
      <c r="P130" s="164">
        <f t="shared" ca="1" si="44"/>
        <v>8180.3088156763142</v>
      </c>
      <c r="Q130" s="164">
        <f t="shared" ca="1" si="44"/>
        <v>8589.3242564601296</v>
      </c>
      <c r="R130" s="164">
        <f t="shared" ca="1" si="44"/>
        <v>9018.790469283138</v>
      </c>
      <c r="S130" s="164">
        <f t="shared" ca="1" si="44"/>
        <v>9469.7299927472941</v>
      </c>
      <c r="T130" s="164">
        <f t="shared" ca="1" si="44"/>
        <v>9943.2164923846594</v>
      </c>
      <c r="U130" s="164">
        <f t="shared" ca="1" si="44"/>
        <v>10440.377317003893</v>
      </c>
      <c r="V130" s="164">
        <f t="shared" ca="1" si="44"/>
        <v>10962.396182854089</v>
      </c>
      <c r="W130" s="164">
        <f t="shared" ca="1" si="44"/>
        <v>11510.515991996795</v>
      </c>
      <c r="X130" s="164">
        <f t="shared" ca="1" si="44"/>
        <v>12086.041791596634</v>
      </c>
      <c r="Y130" s="164">
        <f t="shared" ca="1" si="44"/>
        <v>12690.343881176466</v>
      </c>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97"/>
      <c r="BA130" s="197"/>
      <c r="BB130" s="197"/>
      <c r="BC130" s="197"/>
      <c r="BD130" s="197"/>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118"/>
      <c r="CE130" s="118"/>
    </row>
    <row r="131" spans="1:83" s="38" customFormat="1" ht="14" hidden="1" x14ac:dyDescent="0.3">
      <c r="A131" s="37"/>
      <c r="B131" s="37"/>
      <c r="C131" s="41" t="s">
        <v>115</v>
      </c>
      <c r="D131" s="145" t="str">
        <f t="shared" si="41"/>
        <v>Très ambitieux</v>
      </c>
      <c r="E131" s="164">
        <v>0</v>
      </c>
      <c r="F131" s="164">
        <f t="shared" ca="1" si="42"/>
        <v>8453.7000000000007</v>
      </c>
      <c r="G131" s="164">
        <f t="shared" ref="G131:Y131" ca="1" si="45">SUMPRODUCT(($H102=$C$79:$C$86)*G$79:G$86)*SUMPRODUCT(($C102=$C$129:$C$148)*$I$100:$I$119)+SUMPRODUCT(($J102=$C$79:$C$86)*G$79:G$86)*SUMPRODUCT(($C102=$C$129:$C$148)*$K$100:$K$119)</f>
        <v>8876.385000000002</v>
      </c>
      <c r="H131" s="164">
        <f t="shared" ca="1" si="45"/>
        <v>9320.2042500000007</v>
      </c>
      <c r="I131" s="164">
        <f t="shared" ca="1" si="45"/>
        <v>9786.2144625000019</v>
      </c>
      <c r="J131" s="164">
        <f t="shared" ca="1" si="45"/>
        <v>10275.525185625003</v>
      </c>
      <c r="K131" s="164">
        <f t="shared" ca="1" si="45"/>
        <v>10789.301444906254</v>
      </c>
      <c r="L131" s="164">
        <f t="shared" ca="1" si="45"/>
        <v>11328.766517151567</v>
      </c>
      <c r="M131" s="164">
        <f t="shared" ca="1" si="45"/>
        <v>11895.204843009145</v>
      </c>
      <c r="N131" s="164">
        <f t="shared" ca="1" si="45"/>
        <v>12489.965085159603</v>
      </c>
      <c r="O131" s="164">
        <f t="shared" ca="1" si="45"/>
        <v>13114.463339417583</v>
      </c>
      <c r="P131" s="164">
        <f t="shared" ca="1" si="45"/>
        <v>13770.186506388463</v>
      </c>
      <c r="Q131" s="164">
        <f t="shared" ca="1" si="45"/>
        <v>14458.695831707886</v>
      </c>
      <c r="R131" s="164">
        <f t="shared" ca="1" si="45"/>
        <v>15181.630623293282</v>
      </c>
      <c r="S131" s="164">
        <f t="shared" ca="1" si="45"/>
        <v>15940.712154457948</v>
      </c>
      <c r="T131" s="164">
        <f t="shared" ca="1" si="45"/>
        <v>16737.747762180847</v>
      </c>
      <c r="U131" s="164">
        <f t="shared" ca="1" si="45"/>
        <v>17574.635150289891</v>
      </c>
      <c r="V131" s="164">
        <f t="shared" ca="1" si="45"/>
        <v>18453.366907804386</v>
      </c>
      <c r="W131" s="164">
        <f t="shared" ca="1" si="45"/>
        <v>19376.035253194608</v>
      </c>
      <c r="X131" s="164">
        <f t="shared" ca="1" si="45"/>
        <v>20344.837015854337</v>
      </c>
      <c r="Y131" s="164">
        <f t="shared" ca="1" si="45"/>
        <v>21362.078866647054</v>
      </c>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97"/>
      <c r="BA131" s="197"/>
      <c r="BB131" s="197"/>
      <c r="BC131" s="197"/>
      <c r="BD131" s="197"/>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118"/>
      <c r="CE131" s="118"/>
    </row>
    <row r="132" spans="1:83" s="38" customFormat="1" ht="14" hidden="1" x14ac:dyDescent="0.3">
      <c r="A132" s="37"/>
      <c r="B132" s="37"/>
      <c r="C132" s="41" t="s">
        <v>116</v>
      </c>
      <c r="D132" s="145" t="str">
        <f t="shared" si="41"/>
        <v>Très ambitieux</v>
      </c>
      <c r="E132" s="164">
        <v>0</v>
      </c>
      <c r="F132" s="164">
        <f t="shared" ca="1" si="42"/>
        <v>9207</v>
      </c>
      <c r="G132" s="164">
        <f t="shared" ref="G132:Y132" ca="1" si="46">SUMPRODUCT(($H103=$C$79:$C$86)*G$79:G$86)*SUMPRODUCT(($C103=$C$129:$C$148)*$I$100:$I$119)+SUMPRODUCT(($J103=$C$79:$C$86)*G$79:G$86)*SUMPRODUCT(($C103=$C$129:$C$148)*$K$100:$K$119)</f>
        <v>9667.35</v>
      </c>
      <c r="H132" s="164">
        <f t="shared" ca="1" si="46"/>
        <v>10150.717500000001</v>
      </c>
      <c r="I132" s="164">
        <f t="shared" ca="1" si="46"/>
        <v>10658.253375000002</v>
      </c>
      <c r="J132" s="164">
        <f t="shared" ca="1" si="46"/>
        <v>11191.166043750001</v>
      </c>
      <c r="K132" s="164">
        <f t="shared" ca="1" si="46"/>
        <v>11750.724345937504</v>
      </c>
      <c r="L132" s="164">
        <f t="shared" ca="1" si="46"/>
        <v>12338.260563234378</v>
      </c>
      <c r="M132" s="164">
        <f t="shared" ca="1" si="46"/>
        <v>12955.173591396098</v>
      </c>
      <c r="N132" s="164">
        <f t="shared" ca="1" si="46"/>
        <v>13602.932270965903</v>
      </c>
      <c r="O132" s="164">
        <f t="shared" ca="1" si="46"/>
        <v>14283.0788845142</v>
      </c>
      <c r="P132" s="164">
        <f t="shared" ca="1" si="46"/>
        <v>14997.232828739909</v>
      </c>
      <c r="Q132" s="164">
        <f t="shared" ca="1" si="46"/>
        <v>15747.094470176906</v>
      </c>
      <c r="R132" s="164">
        <f t="shared" ca="1" si="46"/>
        <v>16534.449193685752</v>
      </c>
      <c r="S132" s="164">
        <f t="shared" ca="1" si="46"/>
        <v>17361.171653370038</v>
      </c>
      <c r="T132" s="164">
        <f t="shared" ca="1" si="46"/>
        <v>18229.230236038544</v>
      </c>
      <c r="U132" s="164">
        <f t="shared" ca="1" si="46"/>
        <v>19140.691747840472</v>
      </c>
      <c r="V132" s="164">
        <f t="shared" ca="1" si="46"/>
        <v>20097.726335232499</v>
      </c>
      <c r="W132" s="164">
        <f t="shared" ca="1" si="46"/>
        <v>21102.612651994124</v>
      </c>
      <c r="X132" s="164">
        <f t="shared" ca="1" si="46"/>
        <v>22157.743284593831</v>
      </c>
      <c r="Y132" s="164">
        <f t="shared" ca="1" si="46"/>
        <v>23265.630448823522</v>
      </c>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97"/>
      <c r="BA132" s="197"/>
      <c r="BB132" s="197"/>
      <c r="BC132" s="197"/>
      <c r="BD132" s="197"/>
      <c r="BE132" s="60"/>
      <c r="BF132" s="60"/>
      <c r="BG132" s="60"/>
      <c r="BH132" s="60"/>
      <c r="BI132" s="60"/>
      <c r="BJ132" s="60"/>
      <c r="BK132" s="60"/>
      <c r="BL132" s="60"/>
      <c r="BM132" s="60"/>
      <c r="BN132" s="60"/>
      <c r="BO132" s="60"/>
      <c r="BP132" s="60"/>
      <c r="BQ132" s="60"/>
      <c r="BR132" s="60"/>
      <c r="BS132" s="60"/>
      <c r="BT132" s="60"/>
      <c r="BU132" s="60"/>
      <c r="BV132" s="60"/>
      <c r="BW132" s="60"/>
      <c r="BX132" s="60"/>
      <c r="BY132" s="60"/>
      <c r="BZ132" s="60"/>
      <c r="CA132" s="60"/>
      <c r="CB132" s="60"/>
      <c r="CC132" s="60"/>
      <c r="CD132" s="118"/>
      <c r="CE132" s="118"/>
    </row>
    <row r="133" spans="1:83" s="38" customFormat="1" ht="14" hidden="1" x14ac:dyDescent="0.3">
      <c r="A133" s="37"/>
      <c r="B133" s="37"/>
      <c r="C133" s="41" t="s">
        <v>117</v>
      </c>
      <c r="D133" s="145" t="str">
        <f t="shared" si="41"/>
        <v>Prioritaire</v>
      </c>
      <c r="E133" s="164">
        <v>0</v>
      </c>
      <c r="F133" s="164">
        <f t="shared" ca="1" si="42"/>
        <v>8788.5</v>
      </c>
      <c r="G133" s="164">
        <f t="shared" ref="G133:Y133" ca="1" si="47">SUMPRODUCT(($H104=$C$79:$C$86)*G$79:G$86)*SUMPRODUCT(($C104=$C$129:$C$148)*$I$100:$I$119)+SUMPRODUCT(($J104=$C$79:$C$86)*G$79:G$86)*SUMPRODUCT(($C104=$C$129:$C$148)*$K$100:$K$119)</f>
        <v>9227.9250000000011</v>
      </c>
      <c r="H133" s="164">
        <f t="shared" ca="1" si="47"/>
        <v>9689.3212500000009</v>
      </c>
      <c r="I133" s="164">
        <f t="shared" ca="1" si="47"/>
        <v>10173.787312500001</v>
      </c>
      <c r="J133" s="164">
        <f t="shared" ca="1" si="47"/>
        <v>10682.476678125002</v>
      </c>
      <c r="K133" s="164">
        <f t="shared" ca="1" si="47"/>
        <v>11216.600512031253</v>
      </c>
      <c r="L133" s="164">
        <f t="shared" ca="1" si="47"/>
        <v>11777.430537632816</v>
      </c>
      <c r="M133" s="164">
        <f t="shared" ca="1" si="47"/>
        <v>12366.302064514457</v>
      </c>
      <c r="N133" s="164">
        <f t="shared" ca="1" si="47"/>
        <v>12984.61716774018</v>
      </c>
      <c r="O133" s="164">
        <f t="shared" ca="1" si="47"/>
        <v>13633.848026127191</v>
      </c>
      <c r="P133" s="164">
        <f t="shared" ca="1" si="47"/>
        <v>14315.540427433549</v>
      </c>
      <c r="Q133" s="164">
        <f t="shared" ca="1" si="47"/>
        <v>15031.317448805228</v>
      </c>
      <c r="R133" s="164">
        <f t="shared" ca="1" si="47"/>
        <v>15782.88332124549</v>
      </c>
      <c r="S133" s="164">
        <f t="shared" ca="1" si="47"/>
        <v>16572.027487307765</v>
      </c>
      <c r="T133" s="164">
        <f t="shared" ca="1" si="47"/>
        <v>17400.628861673154</v>
      </c>
      <c r="U133" s="164">
        <f t="shared" ca="1" si="47"/>
        <v>18270.660304756813</v>
      </c>
      <c r="V133" s="164">
        <f t="shared" ca="1" si="47"/>
        <v>19184.193319994658</v>
      </c>
      <c r="W133" s="164">
        <f t="shared" ca="1" si="47"/>
        <v>20143.402985994391</v>
      </c>
      <c r="X133" s="164">
        <f t="shared" ca="1" si="47"/>
        <v>21150.573135294111</v>
      </c>
      <c r="Y133" s="164">
        <f t="shared" ca="1" si="47"/>
        <v>22208.101792058816</v>
      </c>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97"/>
      <c r="BA133" s="197"/>
      <c r="BB133" s="197"/>
      <c r="BC133" s="197"/>
      <c r="BD133" s="197"/>
      <c r="BE133" s="60"/>
      <c r="BF133" s="60"/>
      <c r="BG133" s="60"/>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118"/>
      <c r="CE133" s="118"/>
    </row>
    <row r="134" spans="1:83" s="38" customFormat="1" ht="14" hidden="1" x14ac:dyDescent="0.3">
      <c r="A134" s="37"/>
      <c r="B134" s="37"/>
      <c r="C134" s="41" t="s">
        <v>118</v>
      </c>
      <c r="D134" s="145" t="str">
        <f t="shared" si="41"/>
        <v>Ambitieux</v>
      </c>
      <c r="E134" s="164">
        <v>0</v>
      </c>
      <c r="F134" s="164">
        <f t="shared" ca="1" si="42"/>
        <v>17582.222222222223</v>
      </c>
      <c r="G134" s="164">
        <f t="shared" ref="G134:Y134" ca="1" si="48">SUMPRODUCT(($H105=$C$79:$C$86)*G$79:G$86)*SUMPRODUCT(($C105=$C$129:$C$148)*$I$100:$I$119)+SUMPRODUCT(($J105=$C$79:$C$86)*G$79:G$86)*SUMPRODUCT(($C105=$C$129:$C$148)*$K$100:$K$119)</f>
        <v>18461.333333333336</v>
      </c>
      <c r="H134" s="164">
        <f t="shared" ca="1" si="48"/>
        <v>19384.400000000001</v>
      </c>
      <c r="I134" s="164">
        <f t="shared" ca="1" si="48"/>
        <v>20353.620000000003</v>
      </c>
      <c r="J134" s="164">
        <f t="shared" ca="1" si="48"/>
        <v>21371.301000000003</v>
      </c>
      <c r="K134" s="164">
        <f t="shared" ca="1" si="48"/>
        <v>22439.866050000008</v>
      </c>
      <c r="L134" s="164">
        <f t="shared" ca="1" si="48"/>
        <v>23561.859352500007</v>
      </c>
      <c r="M134" s="164">
        <f t="shared" ca="1" si="48"/>
        <v>24739.952320125009</v>
      </c>
      <c r="N134" s="164">
        <f t="shared" ca="1" si="48"/>
        <v>25976.949936131259</v>
      </c>
      <c r="O134" s="164">
        <f t="shared" ca="1" si="48"/>
        <v>27275.797432937823</v>
      </c>
      <c r="P134" s="164">
        <f t="shared" ca="1" si="48"/>
        <v>28639.587304584715</v>
      </c>
      <c r="Q134" s="164">
        <f t="shared" ca="1" si="48"/>
        <v>30071.56666981395</v>
      </c>
      <c r="R134" s="164">
        <f t="shared" ca="1" si="48"/>
        <v>31575.145003304653</v>
      </c>
      <c r="S134" s="164">
        <f t="shared" ca="1" si="48"/>
        <v>33153.902253469889</v>
      </c>
      <c r="T134" s="164">
        <f t="shared" ca="1" si="48"/>
        <v>34811.597366143382</v>
      </c>
      <c r="U134" s="164">
        <f t="shared" ca="1" si="48"/>
        <v>36552.177234450559</v>
      </c>
      <c r="V134" s="164">
        <f t="shared" ca="1" si="48"/>
        <v>38379.786096173084</v>
      </c>
      <c r="W134" s="164">
        <f t="shared" ca="1" si="48"/>
        <v>40298.775400981744</v>
      </c>
      <c r="X134" s="164">
        <f t="shared" ca="1" si="48"/>
        <v>42313.714171030828</v>
      </c>
      <c r="Y134" s="164">
        <f t="shared" ca="1" si="48"/>
        <v>44429.399879582372</v>
      </c>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97"/>
      <c r="BA134" s="197"/>
      <c r="BB134" s="197"/>
      <c r="BC134" s="197"/>
      <c r="BD134" s="197"/>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118"/>
      <c r="CE134" s="118"/>
    </row>
    <row r="135" spans="1:83" s="38" customFormat="1" ht="14" hidden="1" x14ac:dyDescent="0.3">
      <c r="A135" s="37"/>
      <c r="B135" s="37"/>
      <c r="C135" s="41" t="s">
        <v>123</v>
      </c>
      <c r="D135" s="145" t="str">
        <f t="shared" si="41"/>
        <v>Prioritaire</v>
      </c>
      <c r="E135" s="164">
        <v>0</v>
      </c>
      <c r="F135" s="164">
        <f t="shared" ca="1" si="42"/>
        <v>24533.333333333332</v>
      </c>
      <c r="G135" s="164">
        <f t="shared" ref="G135:Y135" ca="1" si="49">SUMPRODUCT(($H106=$C$79:$C$86)*G$79:G$86)*SUMPRODUCT(($C106=$C$129:$C$148)*$I$100:$I$119)+SUMPRODUCT(($J106=$C$79:$C$86)*G$79:G$86)*SUMPRODUCT(($C106=$C$129:$C$148)*$K$100:$K$119)</f>
        <v>25760</v>
      </c>
      <c r="H135" s="164">
        <f t="shared" ca="1" si="49"/>
        <v>27048</v>
      </c>
      <c r="I135" s="164">
        <f t="shared" ca="1" si="49"/>
        <v>28400.400000000001</v>
      </c>
      <c r="J135" s="164">
        <f t="shared" ca="1" si="49"/>
        <v>29820.420000000006</v>
      </c>
      <c r="K135" s="164">
        <f t="shared" ca="1" si="49"/>
        <v>31311.441000000006</v>
      </c>
      <c r="L135" s="164">
        <f t="shared" ca="1" si="49"/>
        <v>32877.013050000009</v>
      </c>
      <c r="M135" s="164">
        <f t="shared" ca="1" si="49"/>
        <v>34520.863702500006</v>
      </c>
      <c r="N135" s="164">
        <f t="shared" ca="1" si="49"/>
        <v>36246.906887625009</v>
      </c>
      <c r="O135" s="164">
        <f t="shared" ca="1" si="49"/>
        <v>38059.252232006264</v>
      </c>
      <c r="P135" s="164">
        <f t="shared" ca="1" si="49"/>
        <v>39962.214843606576</v>
      </c>
      <c r="Q135" s="164">
        <f t="shared" ca="1" si="49"/>
        <v>41960.325585786908</v>
      </c>
      <c r="R135" s="164">
        <f t="shared" ca="1" si="49"/>
        <v>44058.341865076254</v>
      </c>
      <c r="S135" s="164">
        <f t="shared" ca="1" si="49"/>
        <v>46261.258958330072</v>
      </c>
      <c r="T135" s="164">
        <f t="shared" ca="1" si="49"/>
        <v>48574.32190624658</v>
      </c>
      <c r="U135" s="164">
        <f t="shared" ca="1" si="49"/>
        <v>51003.038001558911</v>
      </c>
      <c r="V135" s="164">
        <f t="shared" ca="1" si="49"/>
        <v>53553.189901636862</v>
      </c>
      <c r="W135" s="164">
        <f t="shared" ca="1" si="49"/>
        <v>56230.84939671871</v>
      </c>
      <c r="X135" s="164">
        <f t="shared" ca="1" si="49"/>
        <v>59042.391866554644</v>
      </c>
      <c r="Y135" s="164">
        <f t="shared" ca="1" si="49"/>
        <v>61994.511459882371</v>
      </c>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97"/>
      <c r="BA135" s="197"/>
      <c r="BB135" s="197"/>
      <c r="BC135" s="197"/>
      <c r="BD135" s="197"/>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118"/>
      <c r="CE135" s="118"/>
    </row>
    <row r="136" spans="1:83" s="38" customFormat="1" ht="14" hidden="1" x14ac:dyDescent="0.3">
      <c r="A136" s="37"/>
      <c r="B136" s="37"/>
      <c r="C136" s="41" t="s">
        <v>124</v>
      </c>
      <c r="D136" s="145" t="str">
        <f t="shared" si="41"/>
        <v>Prioritaire</v>
      </c>
      <c r="E136" s="164">
        <v>0</v>
      </c>
      <c r="F136" s="164">
        <f t="shared" ca="1" si="42"/>
        <v>14965.333333333332</v>
      </c>
      <c r="G136" s="164">
        <f t="shared" ref="G136:Y136" ca="1" si="50">SUMPRODUCT(($H107=$C$79:$C$86)*G$79:G$86)*SUMPRODUCT(($C107=$C$129:$C$148)*$I$100:$I$119)+SUMPRODUCT(($J107=$C$79:$C$86)*G$79:G$86)*SUMPRODUCT(($C107=$C$129:$C$148)*$K$100:$K$119)</f>
        <v>15713.599999999999</v>
      </c>
      <c r="H136" s="164">
        <f t="shared" ca="1" si="50"/>
        <v>16499.28</v>
      </c>
      <c r="I136" s="164">
        <f t="shared" ca="1" si="50"/>
        <v>17324.243999999999</v>
      </c>
      <c r="J136" s="164">
        <f t="shared" ca="1" si="50"/>
        <v>18190.456200000001</v>
      </c>
      <c r="K136" s="164">
        <f t="shared" ca="1" si="50"/>
        <v>19099.979010000003</v>
      </c>
      <c r="L136" s="164">
        <f t="shared" ca="1" si="50"/>
        <v>20054.977960500004</v>
      </c>
      <c r="M136" s="164">
        <f t="shared" ca="1" si="50"/>
        <v>21057.726858525006</v>
      </c>
      <c r="N136" s="164">
        <f t="shared" ca="1" si="50"/>
        <v>22110.613201451255</v>
      </c>
      <c r="O136" s="164">
        <f t="shared" ca="1" si="50"/>
        <v>23216.143861523818</v>
      </c>
      <c r="P136" s="164">
        <f t="shared" ca="1" si="50"/>
        <v>24376.951054600009</v>
      </c>
      <c r="Q136" s="164">
        <f t="shared" ca="1" si="50"/>
        <v>25595.798607330013</v>
      </c>
      <c r="R136" s="164">
        <f t="shared" ca="1" si="50"/>
        <v>26875.588537696516</v>
      </c>
      <c r="S136" s="164">
        <f t="shared" ca="1" si="50"/>
        <v>28219.367964581343</v>
      </c>
      <c r="T136" s="164">
        <f t="shared" ca="1" si="50"/>
        <v>29630.336362810413</v>
      </c>
      <c r="U136" s="164">
        <f t="shared" ca="1" si="50"/>
        <v>31111.853180950933</v>
      </c>
      <c r="V136" s="164">
        <f t="shared" ca="1" si="50"/>
        <v>32667.445839998483</v>
      </c>
      <c r="W136" s="164">
        <f t="shared" ca="1" si="50"/>
        <v>34300.818131998414</v>
      </c>
      <c r="X136" s="164">
        <f t="shared" ca="1" si="50"/>
        <v>36015.859038598333</v>
      </c>
      <c r="Y136" s="164">
        <f t="shared" ca="1" si="50"/>
        <v>37816.651990528248</v>
      </c>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97"/>
      <c r="BA136" s="197"/>
      <c r="BB136" s="197"/>
      <c r="BC136" s="197"/>
      <c r="BD136" s="197"/>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118"/>
      <c r="CE136" s="118"/>
    </row>
    <row r="137" spans="1:83" s="38" customFormat="1" ht="14" hidden="1" x14ac:dyDescent="0.3">
      <c r="A137" s="37"/>
      <c r="B137" s="37"/>
      <c r="C137" s="41" t="s">
        <v>125</v>
      </c>
      <c r="D137" s="145" t="str">
        <f t="shared" si="41"/>
        <v>Ambitieux</v>
      </c>
      <c r="E137" s="164">
        <v>0</v>
      </c>
      <c r="F137" s="164">
        <f t="shared" ca="1" si="42"/>
        <v>28622.222222222219</v>
      </c>
      <c r="G137" s="164">
        <f t="shared" ref="G137:Y137" ca="1" si="51">SUMPRODUCT(($H108=$C$79:$C$86)*G$79:G$86)*SUMPRODUCT(($C108=$C$129:$C$148)*$I$100:$I$119)+SUMPRODUCT(($J108=$C$79:$C$86)*G$79:G$86)*SUMPRODUCT(($C108=$C$129:$C$148)*$K$100:$K$119)</f>
        <v>30053.333333333332</v>
      </c>
      <c r="H137" s="164">
        <f t="shared" ca="1" si="51"/>
        <v>31555.999999999996</v>
      </c>
      <c r="I137" s="164">
        <f t="shared" ca="1" si="51"/>
        <v>33133.800000000003</v>
      </c>
      <c r="J137" s="164">
        <f t="shared" ca="1" si="51"/>
        <v>34790.490000000005</v>
      </c>
      <c r="K137" s="164">
        <f t="shared" ca="1" si="51"/>
        <v>36530.014500000005</v>
      </c>
      <c r="L137" s="164">
        <f t="shared" ca="1" si="51"/>
        <v>38356.51522500001</v>
      </c>
      <c r="M137" s="164">
        <f t="shared" ca="1" si="51"/>
        <v>40274.340986250012</v>
      </c>
      <c r="N137" s="164">
        <f t="shared" ca="1" si="51"/>
        <v>42288.058035562513</v>
      </c>
      <c r="O137" s="164">
        <f t="shared" ca="1" si="51"/>
        <v>44402.460937340635</v>
      </c>
      <c r="P137" s="164">
        <f t="shared" ca="1" si="51"/>
        <v>46622.583984207668</v>
      </c>
      <c r="Q137" s="164">
        <f t="shared" ca="1" si="51"/>
        <v>48953.713183418055</v>
      </c>
      <c r="R137" s="164">
        <f t="shared" ca="1" si="51"/>
        <v>51401.398842588962</v>
      </c>
      <c r="S137" s="164">
        <f t="shared" ca="1" si="51"/>
        <v>53971.46878471841</v>
      </c>
      <c r="T137" s="164">
        <f t="shared" ca="1" si="51"/>
        <v>56670.04222395434</v>
      </c>
      <c r="U137" s="164">
        <f t="shared" ca="1" si="51"/>
        <v>59503.544335152059</v>
      </c>
      <c r="V137" s="164">
        <f t="shared" ca="1" si="51"/>
        <v>62478.721551909664</v>
      </c>
      <c r="W137" s="164">
        <f t="shared" ca="1" si="51"/>
        <v>65602.657629505164</v>
      </c>
      <c r="X137" s="164">
        <f t="shared" ca="1" si="51"/>
        <v>68882.790510980412</v>
      </c>
      <c r="Y137" s="164">
        <f t="shared" ca="1" si="51"/>
        <v>72326.930036529433</v>
      </c>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97"/>
      <c r="BA137" s="197"/>
      <c r="BB137" s="197"/>
      <c r="BC137" s="197"/>
      <c r="BD137" s="197"/>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118"/>
      <c r="CE137" s="118"/>
    </row>
    <row r="138" spans="1:83" s="38" customFormat="1" ht="14" hidden="1" x14ac:dyDescent="0.3">
      <c r="A138" s="37"/>
      <c r="B138" s="37"/>
      <c r="C138" s="41" t="s">
        <v>126</v>
      </c>
      <c r="D138" s="145" t="str">
        <f t="shared" si="41"/>
        <v>Prioritaire</v>
      </c>
      <c r="E138" s="164">
        <v>0</v>
      </c>
      <c r="F138" s="164">
        <f t="shared" ca="1" si="42"/>
        <v>8370</v>
      </c>
      <c r="G138" s="164">
        <f t="shared" ref="G138:Y138" ca="1" si="52">SUMPRODUCT(($H109=$C$79:$C$86)*G$79:G$86)*SUMPRODUCT(($C109=$C$129:$C$148)*$I$100:$I$119)+SUMPRODUCT(($J109=$C$79:$C$86)*G$79:G$86)*SUMPRODUCT(($C109=$C$129:$C$148)*$K$100:$K$119)</f>
        <v>8788.5</v>
      </c>
      <c r="H138" s="164">
        <f t="shared" ca="1" si="52"/>
        <v>9227.9250000000011</v>
      </c>
      <c r="I138" s="164">
        <f t="shared" ca="1" si="52"/>
        <v>9689.3212500000009</v>
      </c>
      <c r="J138" s="164">
        <f t="shared" ca="1" si="52"/>
        <v>10173.787312500002</v>
      </c>
      <c r="K138" s="164">
        <f t="shared" ca="1" si="52"/>
        <v>10682.476678125004</v>
      </c>
      <c r="L138" s="164">
        <f t="shared" ca="1" si="52"/>
        <v>11216.600512031253</v>
      </c>
      <c r="M138" s="164">
        <f t="shared" ca="1" si="52"/>
        <v>11777.430537632816</v>
      </c>
      <c r="N138" s="164">
        <f t="shared" ca="1" si="52"/>
        <v>12366.302064514457</v>
      </c>
      <c r="O138" s="164">
        <f t="shared" ca="1" si="52"/>
        <v>12984.617167740182</v>
      </c>
      <c r="P138" s="164">
        <f t="shared" ca="1" si="52"/>
        <v>13633.848026127189</v>
      </c>
      <c r="Q138" s="164">
        <f t="shared" ca="1" si="52"/>
        <v>14315.540427433551</v>
      </c>
      <c r="R138" s="164">
        <f t="shared" ca="1" si="52"/>
        <v>15031.317448805228</v>
      </c>
      <c r="S138" s="164">
        <f t="shared" ca="1" si="52"/>
        <v>15782.88332124549</v>
      </c>
      <c r="T138" s="164">
        <f t="shared" ca="1" si="52"/>
        <v>16572.027487307765</v>
      </c>
      <c r="U138" s="164">
        <f t="shared" ca="1" si="52"/>
        <v>17400.628861673158</v>
      </c>
      <c r="V138" s="164">
        <f t="shared" ca="1" si="52"/>
        <v>18270.660304756817</v>
      </c>
      <c r="W138" s="164">
        <f t="shared" ca="1" si="52"/>
        <v>19184.193319994658</v>
      </c>
      <c r="X138" s="164">
        <f t="shared" ca="1" si="52"/>
        <v>20143.402985994391</v>
      </c>
      <c r="Y138" s="164">
        <f t="shared" ca="1" si="52"/>
        <v>21150.573135294111</v>
      </c>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97"/>
      <c r="BA138" s="197"/>
      <c r="BB138" s="197"/>
      <c r="BC138" s="197"/>
      <c r="BD138" s="197"/>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118"/>
      <c r="CE138" s="118"/>
    </row>
    <row r="139" spans="1:83" s="38" customFormat="1" ht="14" hidden="1" x14ac:dyDescent="0.3">
      <c r="A139" s="37"/>
      <c r="B139" s="37"/>
      <c r="C139" s="41" t="s">
        <v>284</v>
      </c>
      <c r="D139" s="145" t="str">
        <f t="shared" si="41"/>
        <v>Très ambitieux</v>
      </c>
      <c r="E139" s="164">
        <v>0</v>
      </c>
      <c r="F139" s="164">
        <f t="shared" ca="1" si="42"/>
        <v>8788.5</v>
      </c>
      <c r="G139" s="164">
        <f t="shared" ref="G139:Y139" ca="1" si="53">SUMPRODUCT(($H110=$C$79:$C$86)*G$79:G$86)*SUMPRODUCT(($C110=$C$129:$C$148)*$I$100:$I$119)+SUMPRODUCT(($J110=$C$79:$C$86)*G$79:G$86)*SUMPRODUCT(($C110=$C$129:$C$148)*$K$100:$K$119)</f>
        <v>9227.9250000000011</v>
      </c>
      <c r="H139" s="164">
        <f t="shared" ca="1" si="53"/>
        <v>9689.3212500000009</v>
      </c>
      <c r="I139" s="164">
        <f t="shared" ca="1" si="53"/>
        <v>10173.787312500001</v>
      </c>
      <c r="J139" s="164">
        <f t="shared" ca="1" si="53"/>
        <v>10682.476678125002</v>
      </c>
      <c r="K139" s="164">
        <f t="shared" ca="1" si="53"/>
        <v>11216.600512031253</v>
      </c>
      <c r="L139" s="164">
        <f t="shared" ca="1" si="53"/>
        <v>11777.430537632816</v>
      </c>
      <c r="M139" s="164">
        <f t="shared" ca="1" si="53"/>
        <v>12366.302064514457</v>
      </c>
      <c r="N139" s="164">
        <f t="shared" ca="1" si="53"/>
        <v>12984.61716774018</v>
      </c>
      <c r="O139" s="164">
        <f t="shared" ca="1" si="53"/>
        <v>13633.848026127191</v>
      </c>
      <c r="P139" s="164">
        <f t="shared" ca="1" si="53"/>
        <v>14315.540427433549</v>
      </c>
      <c r="Q139" s="164">
        <f t="shared" ca="1" si="53"/>
        <v>15031.317448805228</v>
      </c>
      <c r="R139" s="164">
        <f t="shared" ca="1" si="53"/>
        <v>15782.88332124549</v>
      </c>
      <c r="S139" s="164">
        <f t="shared" ca="1" si="53"/>
        <v>16572.027487307765</v>
      </c>
      <c r="T139" s="164">
        <f t="shared" ca="1" si="53"/>
        <v>17400.628861673154</v>
      </c>
      <c r="U139" s="164">
        <f t="shared" ca="1" si="53"/>
        <v>18270.660304756813</v>
      </c>
      <c r="V139" s="164">
        <f t="shared" ca="1" si="53"/>
        <v>19184.193319994658</v>
      </c>
      <c r="W139" s="164">
        <f t="shared" ca="1" si="53"/>
        <v>20143.402985994391</v>
      </c>
      <c r="X139" s="164">
        <f t="shared" ca="1" si="53"/>
        <v>21150.573135294111</v>
      </c>
      <c r="Y139" s="164">
        <f t="shared" ca="1" si="53"/>
        <v>22208.101792058816</v>
      </c>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97"/>
      <c r="BA139" s="197"/>
      <c r="BB139" s="197"/>
      <c r="BC139" s="197"/>
      <c r="BD139" s="197"/>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118"/>
      <c r="CE139" s="118"/>
    </row>
    <row r="140" spans="1:83" s="38" customFormat="1" ht="14" hidden="1" x14ac:dyDescent="0.3">
      <c r="A140" s="37"/>
      <c r="B140" s="37"/>
      <c r="C140" s="41" t="s">
        <v>285</v>
      </c>
      <c r="D140" s="145" t="str">
        <f t="shared" si="41"/>
        <v>Très ambitieux</v>
      </c>
      <c r="E140" s="164">
        <v>0</v>
      </c>
      <c r="F140" s="164">
        <f t="shared" ca="1" si="42"/>
        <v>17577</v>
      </c>
      <c r="G140" s="164">
        <f t="shared" ref="G140:Y140" ca="1" si="54">SUMPRODUCT(($H111=$C$79:$C$86)*G$79:G$86)*SUMPRODUCT(($C111=$C$129:$C$148)*$I$100:$I$119)+SUMPRODUCT(($J111=$C$79:$C$86)*G$79:G$86)*SUMPRODUCT(($C111=$C$129:$C$148)*$K$100:$K$119)</f>
        <v>18455.850000000002</v>
      </c>
      <c r="H140" s="164">
        <f t="shared" ca="1" si="54"/>
        <v>19378.642500000002</v>
      </c>
      <c r="I140" s="164">
        <f t="shared" ca="1" si="54"/>
        <v>20347.574625000001</v>
      </c>
      <c r="J140" s="164">
        <f t="shared" ca="1" si="54"/>
        <v>21364.953356250004</v>
      </c>
      <c r="K140" s="164">
        <f t="shared" ca="1" si="54"/>
        <v>22433.201024062506</v>
      </c>
      <c r="L140" s="164">
        <f t="shared" ca="1" si="54"/>
        <v>23554.861075265631</v>
      </c>
      <c r="M140" s="164">
        <f t="shared" ca="1" si="54"/>
        <v>24732.604129028914</v>
      </c>
      <c r="N140" s="164">
        <f t="shared" ca="1" si="54"/>
        <v>25969.23433548036</v>
      </c>
      <c r="O140" s="164">
        <f t="shared" ca="1" si="54"/>
        <v>27267.696052254381</v>
      </c>
      <c r="P140" s="164">
        <f t="shared" ca="1" si="54"/>
        <v>28631.080854867098</v>
      </c>
      <c r="Q140" s="164">
        <f t="shared" ca="1" si="54"/>
        <v>30062.634897610456</v>
      </c>
      <c r="R140" s="164">
        <f t="shared" ca="1" si="54"/>
        <v>31565.76664249098</v>
      </c>
      <c r="S140" s="164">
        <f t="shared" ca="1" si="54"/>
        <v>33144.05497461553</v>
      </c>
      <c r="T140" s="164">
        <f t="shared" ca="1" si="54"/>
        <v>34801.257723346309</v>
      </c>
      <c r="U140" s="164">
        <f t="shared" ca="1" si="54"/>
        <v>36541.320609513627</v>
      </c>
      <c r="V140" s="164">
        <f t="shared" ca="1" si="54"/>
        <v>38368.386639989316</v>
      </c>
      <c r="W140" s="164">
        <f t="shared" ca="1" si="54"/>
        <v>40286.805971988782</v>
      </c>
      <c r="X140" s="164">
        <f t="shared" ca="1" si="54"/>
        <v>42301.146270588222</v>
      </c>
      <c r="Y140" s="164">
        <f t="shared" ca="1" si="54"/>
        <v>44416.203584117633</v>
      </c>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97"/>
      <c r="BA140" s="197"/>
      <c r="BB140" s="197"/>
      <c r="BC140" s="197"/>
      <c r="BD140" s="197"/>
      <c r="BE140" s="60"/>
      <c r="BF140" s="60"/>
      <c r="BG140" s="60"/>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118"/>
      <c r="CE140" s="118"/>
    </row>
    <row r="141" spans="1:83" s="38" customFormat="1" ht="14" hidden="1" x14ac:dyDescent="0.3">
      <c r="A141" s="37"/>
      <c r="B141" s="37"/>
      <c r="C141" s="41" t="s">
        <v>286</v>
      </c>
      <c r="D141" s="145" t="str">
        <f t="shared" si="41"/>
        <v>Non priorisé</v>
      </c>
      <c r="E141" s="164">
        <v>0</v>
      </c>
      <c r="F141" s="164">
        <f t="shared" ca="1" si="42"/>
        <v>2248.8888888888887</v>
      </c>
      <c r="G141" s="164">
        <f t="shared" ref="G141:Y141" ca="1" si="55">SUMPRODUCT(($H112=$C$79:$C$86)*G$79:G$86)*SUMPRODUCT(($C112=$C$129:$C$148)*$I$100:$I$119)+SUMPRODUCT(($J112=$C$79:$C$86)*G$79:G$86)*SUMPRODUCT(($C112=$C$129:$C$148)*$K$100:$K$119)</f>
        <v>2361.333333333333</v>
      </c>
      <c r="H141" s="164">
        <f t="shared" ca="1" si="55"/>
        <v>2479.3999999999996</v>
      </c>
      <c r="I141" s="164">
        <f t="shared" ca="1" si="55"/>
        <v>2603.37</v>
      </c>
      <c r="J141" s="164">
        <f t="shared" ca="1" si="55"/>
        <v>2733.5385000000001</v>
      </c>
      <c r="K141" s="164">
        <f t="shared" ca="1" si="55"/>
        <v>2870.2154250000003</v>
      </c>
      <c r="L141" s="164">
        <f t="shared" ca="1" si="55"/>
        <v>3013.7261962500006</v>
      </c>
      <c r="M141" s="164">
        <f t="shared" ca="1" si="55"/>
        <v>3164.4125060625006</v>
      </c>
      <c r="N141" s="164">
        <f t="shared" ca="1" si="55"/>
        <v>3322.633131365626</v>
      </c>
      <c r="O141" s="164">
        <f t="shared" ca="1" si="55"/>
        <v>3488.7647879339074</v>
      </c>
      <c r="P141" s="164">
        <f t="shared" ca="1" si="55"/>
        <v>3663.2030273306027</v>
      </c>
      <c r="Q141" s="164">
        <f t="shared" ca="1" si="55"/>
        <v>3846.3631786971328</v>
      </c>
      <c r="R141" s="164">
        <f t="shared" ca="1" si="55"/>
        <v>4038.6813376319901</v>
      </c>
      <c r="S141" s="164">
        <f t="shared" ca="1" si="55"/>
        <v>4240.61540451359</v>
      </c>
      <c r="T141" s="164">
        <f t="shared" ca="1" si="55"/>
        <v>4452.6461747392696</v>
      </c>
      <c r="U141" s="164">
        <f t="shared" ca="1" si="55"/>
        <v>4675.2784834762333</v>
      </c>
      <c r="V141" s="164">
        <f t="shared" ca="1" si="55"/>
        <v>4909.0424076500458</v>
      </c>
      <c r="W141" s="164">
        <f t="shared" ca="1" si="55"/>
        <v>5154.4945280325483</v>
      </c>
      <c r="X141" s="164">
        <f t="shared" ca="1" si="55"/>
        <v>5412.2192544341751</v>
      </c>
      <c r="Y141" s="164">
        <f t="shared" ca="1" si="55"/>
        <v>5682.8302171558844</v>
      </c>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97"/>
      <c r="BA141" s="197"/>
      <c r="BB141" s="197"/>
      <c r="BC141" s="197"/>
      <c r="BD141" s="197"/>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118"/>
      <c r="CE141" s="118"/>
    </row>
    <row r="142" spans="1:83" s="38" customFormat="1" ht="14" hidden="1" x14ac:dyDescent="0.3">
      <c r="A142" s="37"/>
      <c r="B142" s="37"/>
      <c r="C142" s="41" t="s">
        <v>287</v>
      </c>
      <c r="D142" s="145">
        <f t="shared" si="41"/>
        <v>0</v>
      </c>
      <c r="E142" s="164">
        <v>0</v>
      </c>
      <c r="F142" s="164">
        <f t="shared" ca="1" si="42"/>
        <v>0</v>
      </c>
      <c r="G142" s="164">
        <f t="shared" ref="G142:Y142" ca="1" si="56">SUMPRODUCT(($H113=$C$79:$C$86)*G$79:G$86)*SUMPRODUCT(($C113=$C$129:$C$148)*$I$100:$I$119)+SUMPRODUCT(($J113=$C$79:$C$86)*G$79:G$86)*SUMPRODUCT(($C113=$C$129:$C$148)*$K$100:$K$119)</f>
        <v>0</v>
      </c>
      <c r="H142" s="164">
        <f t="shared" ca="1" si="56"/>
        <v>0</v>
      </c>
      <c r="I142" s="164">
        <f t="shared" ca="1" si="56"/>
        <v>0</v>
      </c>
      <c r="J142" s="164">
        <f t="shared" ca="1" si="56"/>
        <v>0</v>
      </c>
      <c r="K142" s="164">
        <f t="shared" ca="1" si="56"/>
        <v>0</v>
      </c>
      <c r="L142" s="164">
        <f t="shared" ca="1" si="56"/>
        <v>0</v>
      </c>
      <c r="M142" s="164">
        <f t="shared" ca="1" si="56"/>
        <v>0</v>
      </c>
      <c r="N142" s="164">
        <f t="shared" ca="1" si="56"/>
        <v>0</v>
      </c>
      <c r="O142" s="164">
        <f t="shared" ca="1" si="56"/>
        <v>0</v>
      </c>
      <c r="P142" s="164">
        <f t="shared" ca="1" si="56"/>
        <v>0</v>
      </c>
      <c r="Q142" s="164">
        <f t="shared" ca="1" si="56"/>
        <v>0</v>
      </c>
      <c r="R142" s="164">
        <f t="shared" ca="1" si="56"/>
        <v>0</v>
      </c>
      <c r="S142" s="164">
        <f t="shared" ca="1" si="56"/>
        <v>0</v>
      </c>
      <c r="T142" s="164">
        <f t="shared" ca="1" si="56"/>
        <v>0</v>
      </c>
      <c r="U142" s="164">
        <f t="shared" ca="1" si="56"/>
        <v>0</v>
      </c>
      <c r="V142" s="164">
        <f t="shared" ca="1" si="56"/>
        <v>0</v>
      </c>
      <c r="W142" s="164">
        <f t="shared" ca="1" si="56"/>
        <v>0</v>
      </c>
      <c r="X142" s="164">
        <f t="shared" ca="1" si="56"/>
        <v>0</v>
      </c>
      <c r="Y142" s="164">
        <f t="shared" ca="1" si="56"/>
        <v>0</v>
      </c>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97"/>
      <c r="BA142" s="197"/>
      <c r="BB142" s="197"/>
      <c r="BC142" s="197"/>
      <c r="BD142" s="197"/>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118"/>
      <c r="CE142" s="118"/>
    </row>
    <row r="143" spans="1:83" s="38" customFormat="1" ht="14" hidden="1" x14ac:dyDescent="0.3">
      <c r="A143" s="37"/>
      <c r="B143" s="37"/>
      <c r="C143" s="41" t="s">
        <v>288</v>
      </c>
      <c r="D143" s="145">
        <f t="shared" si="41"/>
        <v>0</v>
      </c>
      <c r="E143" s="164">
        <v>0</v>
      </c>
      <c r="F143" s="164">
        <f t="shared" ca="1" si="42"/>
        <v>0</v>
      </c>
      <c r="G143" s="164">
        <f t="shared" ref="G143:Y143" ca="1" si="57">SUMPRODUCT(($H114=$C$79:$C$86)*G$79:G$86)*SUMPRODUCT(($C114=$C$129:$C$148)*$I$100:$I$119)+SUMPRODUCT(($J114=$C$79:$C$86)*G$79:G$86)*SUMPRODUCT(($C114=$C$129:$C$148)*$K$100:$K$119)</f>
        <v>0</v>
      </c>
      <c r="H143" s="164">
        <f t="shared" ca="1" si="57"/>
        <v>0</v>
      </c>
      <c r="I143" s="164">
        <f t="shared" ca="1" si="57"/>
        <v>0</v>
      </c>
      <c r="J143" s="164">
        <f t="shared" ca="1" si="57"/>
        <v>0</v>
      </c>
      <c r="K143" s="164">
        <f t="shared" ca="1" si="57"/>
        <v>0</v>
      </c>
      <c r="L143" s="164">
        <f t="shared" ca="1" si="57"/>
        <v>0</v>
      </c>
      <c r="M143" s="164">
        <f t="shared" ca="1" si="57"/>
        <v>0</v>
      </c>
      <c r="N143" s="164">
        <f t="shared" ca="1" si="57"/>
        <v>0</v>
      </c>
      <c r="O143" s="164">
        <f t="shared" ca="1" si="57"/>
        <v>0</v>
      </c>
      <c r="P143" s="164">
        <f t="shared" ca="1" si="57"/>
        <v>0</v>
      </c>
      <c r="Q143" s="164">
        <f t="shared" ca="1" si="57"/>
        <v>0</v>
      </c>
      <c r="R143" s="164">
        <f t="shared" ca="1" si="57"/>
        <v>0</v>
      </c>
      <c r="S143" s="164">
        <f t="shared" ca="1" si="57"/>
        <v>0</v>
      </c>
      <c r="T143" s="164">
        <f t="shared" ca="1" si="57"/>
        <v>0</v>
      </c>
      <c r="U143" s="164">
        <f t="shared" ca="1" si="57"/>
        <v>0</v>
      </c>
      <c r="V143" s="164">
        <f t="shared" ca="1" si="57"/>
        <v>0</v>
      </c>
      <c r="W143" s="164">
        <f t="shared" ca="1" si="57"/>
        <v>0</v>
      </c>
      <c r="X143" s="164">
        <f t="shared" ca="1" si="57"/>
        <v>0</v>
      </c>
      <c r="Y143" s="164">
        <f t="shared" ca="1" si="57"/>
        <v>0</v>
      </c>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97"/>
      <c r="BA143" s="197"/>
      <c r="BB143" s="197"/>
      <c r="BC143" s="197"/>
      <c r="BD143" s="197"/>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118"/>
      <c r="CE143" s="118"/>
    </row>
    <row r="144" spans="1:83" s="38" customFormat="1" ht="14" hidden="1" x14ac:dyDescent="0.3">
      <c r="A144" s="37"/>
      <c r="B144" s="37"/>
      <c r="C144" s="41" t="s">
        <v>289</v>
      </c>
      <c r="D144" s="145">
        <f t="shared" si="41"/>
        <v>0</v>
      </c>
      <c r="E144" s="164">
        <v>0</v>
      </c>
      <c r="F144" s="164">
        <f t="shared" ca="1" si="42"/>
        <v>0</v>
      </c>
      <c r="G144" s="164">
        <f t="shared" ref="G144:Y144" ca="1" si="58">SUMPRODUCT(($H115=$C$79:$C$86)*G$79:G$86)*SUMPRODUCT(($C115=$C$129:$C$148)*$I$100:$I$119)+SUMPRODUCT(($J115=$C$79:$C$86)*G$79:G$86)*SUMPRODUCT(($C115=$C$129:$C$148)*$K$100:$K$119)</f>
        <v>0</v>
      </c>
      <c r="H144" s="164">
        <f t="shared" ca="1" si="58"/>
        <v>0</v>
      </c>
      <c r="I144" s="164">
        <f t="shared" ca="1" si="58"/>
        <v>0</v>
      </c>
      <c r="J144" s="164">
        <f t="shared" ca="1" si="58"/>
        <v>0</v>
      </c>
      <c r="K144" s="164">
        <f t="shared" ca="1" si="58"/>
        <v>0</v>
      </c>
      <c r="L144" s="164">
        <f t="shared" ca="1" si="58"/>
        <v>0</v>
      </c>
      <c r="M144" s="164">
        <f t="shared" ca="1" si="58"/>
        <v>0</v>
      </c>
      <c r="N144" s="164">
        <f t="shared" ca="1" si="58"/>
        <v>0</v>
      </c>
      <c r="O144" s="164">
        <f t="shared" ca="1" si="58"/>
        <v>0</v>
      </c>
      <c r="P144" s="164">
        <f t="shared" ca="1" si="58"/>
        <v>0</v>
      </c>
      <c r="Q144" s="164">
        <f t="shared" ca="1" si="58"/>
        <v>0</v>
      </c>
      <c r="R144" s="164">
        <f t="shared" ca="1" si="58"/>
        <v>0</v>
      </c>
      <c r="S144" s="164">
        <f t="shared" ca="1" si="58"/>
        <v>0</v>
      </c>
      <c r="T144" s="164">
        <f t="shared" ca="1" si="58"/>
        <v>0</v>
      </c>
      <c r="U144" s="164">
        <f t="shared" ca="1" si="58"/>
        <v>0</v>
      </c>
      <c r="V144" s="164">
        <f t="shared" ca="1" si="58"/>
        <v>0</v>
      </c>
      <c r="W144" s="164">
        <f t="shared" ca="1" si="58"/>
        <v>0</v>
      </c>
      <c r="X144" s="164">
        <f t="shared" ca="1" si="58"/>
        <v>0</v>
      </c>
      <c r="Y144" s="164">
        <f t="shared" ca="1" si="58"/>
        <v>0</v>
      </c>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97"/>
      <c r="BA144" s="197"/>
      <c r="BB144" s="197"/>
      <c r="BC144" s="197"/>
      <c r="BD144" s="197"/>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118"/>
      <c r="CE144" s="118"/>
    </row>
    <row r="145" spans="1:83" s="38" customFormat="1" ht="14" hidden="1" x14ac:dyDescent="0.3">
      <c r="A145" s="37"/>
      <c r="B145" s="37"/>
      <c r="C145" s="41" t="s">
        <v>290</v>
      </c>
      <c r="D145" s="145">
        <f t="shared" si="41"/>
        <v>0</v>
      </c>
      <c r="E145" s="164">
        <v>0</v>
      </c>
      <c r="F145" s="164">
        <f t="shared" ca="1" si="42"/>
        <v>0</v>
      </c>
      <c r="G145" s="164">
        <f t="shared" ref="G145:Y145" ca="1" si="59">SUMPRODUCT(($H116=$C$79:$C$86)*G$79:G$86)*SUMPRODUCT(($C116=$C$129:$C$148)*$I$100:$I$119)+SUMPRODUCT(($J116=$C$79:$C$86)*G$79:G$86)*SUMPRODUCT(($C116=$C$129:$C$148)*$K$100:$K$119)</f>
        <v>0</v>
      </c>
      <c r="H145" s="164">
        <f t="shared" ca="1" si="59"/>
        <v>0</v>
      </c>
      <c r="I145" s="164">
        <f t="shared" ca="1" si="59"/>
        <v>0</v>
      </c>
      <c r="J145" s="164">
        <f t="shared" ca="1" si="59"/>
        <v>0</v>
      </c>
      <c r="K145" s="164">
        <f t="shared" ca="1" si="59"/>
        <v>0</v>
      </c>
      <c r="L145" s="164">
        <f t="shared" ca="1" si="59"/>
        <v>0</v>
      </c>
      <c r="M145" s="164">
        <f t="shared" ca="1" si="59"/>
        <v>0</v>
      </c>
      <c r="N145" s="164">
        <f t="shared" ca="1" si="59"/>
        <v>0</v>
      </c>
      <c r="O145" s="164">
        <f t="shared" ca="1" si="59"/>
        <v>0</v>
      </c>
      <c r="P145" s="164">
        <f t="shared" ca="1" si="59"/>
        <v>0</v>
      </c>
      <c r="Q145" s="164">
        <f t="shared" ca="1" si="59"/>
        <v>0</v>
      </c>
      <c r="R145" s="164">
        <f t="shared" ca="1" si="59"/>
        <v>0</v>
      </c>
      <c r="S145" s="164">
        <f t="shared" ca="1" si="59"/>
        <v>0</v>
      </c>
      <c r="T145" s="164">
        <f t="shared" ca="1" si="59"/>
        <v>0</v>
      </c>
      <c r="U145" s="164">
        <f t="shared" ca="1" si="59"/>
        <v>0</v>
      </c>
      <c r="V145" s="164">
        <f t="shared" ca="1" si="59"/>
        <v>0</v>
      </c>
      <c r="W145" s="164">
        <f t="shared" ca="1" si="59"/>
        <v>0</v>
      </c>
      <c r="X145" s="164">
        <f t="shared" ca="1" si="59"/>
        <v>0</v>
      </c>
      <c r="Y145" s="164">
        <f t="shared" ca="1" si="59"/>
        <v>0</v>
      </c>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97"/>
      <c r="BA145" s="197"/>
      <c r="BB145" s="197"/>
      <c r="BC145" s="197"/>
      <c r="BD145" s="197"/>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118"/>
      <c r="CE145" s="118"/>
    </row>
    <row r="146" spans="1:83" s="38" customFormat="1" ht="14" hidden="1" x14ac:dyDescent="0.3">
      <c r="A146" s="37"/>
      <c r="B146" s="37"/>
      <c r="C146" s="41" t="s">
        <v>291</v>
      </c>
      <c r="D146" s="145">
        <f t="shared" si="41"/>
        <v>0</v>
      </c>
      <c r="E146" s="164">
        <v>0</v>
      </c>
      <c r="F146" s="164">
        <f t="shared" ca="1" si="42"/>
        <v>0</v>
      </c>
      <c r="G146" s="164">
        <f t="shared" ref="G146:Y146" ca="1" si="60">SUMPRODUCT(($H117=$C$79:$C$86)*G$79:G$86)*SUMPRODUCT(($C117=$C$129:$C$148)*$I$100:$I$119)+SUMPRODUCT(($J117=$C$79:$C$86)*G$79:G$86)*SUMPRODUCT(($C117=$C$129:$C$148)*$K$100:$K$119)</f>
        <v>0</v>
      </c>
      <c r="H146" s="164">
        <f t="shared" ca="1" si="60"/>
        <v>0</v>
      </c>
      <c r="I146" s="164">
        <f t="shared" ca="1" si="60"/>
        <v>0</v>
      </c>
      <c r="J146" s="164">
        <f t="shared" ca="1" si="60"/>
        <v>0</v>
      </c>
      <c r="K146" s="164">
        <f t="shared" ca="1" si="60"/>
        <v>0</v>
      </c>
      <c r="L146" s="164">
        <f t="shared" ca="1" si="60"/>
        <v>0</v>
      </c>
      <c r="M146" s="164">
        <f t="shared" ca="1" si="60"/>
        <v>0</v>
      </c>
      <c r="N146" s="164">
        <f t="shared" ca="1" si="60"/>
        <v>0</v>
      </c>
      <c r="O146" s="164">
        <f t="shared" ca="1" si="60"/>
        <v>0</v>
      </c>
      <c r="P146" s="164">
        <f t="shared" ca="1" si="60"/>
        <v>0</v>
      </c>
      <c r="Q146" s="164">
        <f t="shared" ca="1" si="60"/>
        <v>0</v>
      </c>
      <c r="R146" s="164">
        <f t="shared" ca="1" si="60"/>
        <v>0</v>
      </c>
      <c r="S146" s="164">
        <f t="shared" ca="1" si="60"/>
        <v>0</v>
      </c>
      <c r="T146" s="164">
        <f t="shared" ca="1" si="60"/>
        <v>0</v>
      </c>
      <c r="U146" s="164">
        <f t="shared" ca="1" si="60"/>
        <v>0</v>
      </c>
      <c r="V146" s="164">
        <f t="shared" ca="1" si="60"/>
        <v>0</v>
      </c>
      <c r="W146" s="164">
        <f t="shared" ca="1" si="60"/>
        <v>0</v>
      </c>
      <c r="X146" s="164">
        <f t="shared" ca="1" si="60"/>
        <v>0</v>
      </c>
      <c r="Y146" s="164">
        <f t="shared" ca="1" si="60"/>
        <v>0</v>
      </c>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97"/>
      <c r="BA146" s="197"/>
      <c r="BB146" s="197"/>
      <c r="BC146" s="197"/>
      <c r="BD146" s="197"/>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118"/>
      <c r="CE146" s="118"/>
    </row>
    <row r="147" spans="1:83" s="38" customFormat="1" ht="14" hidden="1" x14ac:dyDescent="0.3">
      <c r="A147" s="37"/>
      <c r="B147" s="37"/>
      <c r="C147" s="41" t="s">
        <v>292</v>
      </c>
      <c r="D147" s="145">
        <f t="shared" si="41"/>
        <v>0</v>
      </c>
      <c r="E147" s="164">
        <v>0</v>
      </c>
      <c r="F147" s="164">
        <f t="shared" ca="1" si="42"/>
        <v>0</v>
      </c>
      <c r="G147" s="164">
        <f t="shared" ref="G147:Y147" ca="1" si="61">SUMPRODUCT(($H118=$C$79:$C$86)*G$79:G$86)*SUMPRODUCT(($C118=$C$129:$C$148)*$I$100:$I$119)+SUMPRODUCT(($J118=$C$79:$C$86)*G$79:G$86)*SUMPRODUCT(($C118=$C$129:$C$148)*$K$100:$K$119)</f>
        <v>0</v>
      </c>
      <c r="H147" s="164">
        <f t="shared" ca="1" si="61"/>
        <v>0</v>
      </c>
      <c r="I147" s="164">
        <f t="shared" ca="1" si="61"/>
        <v>0</v>
      </c>
      <c r="J147" s="164">
        <f t="shared" ca="1" si="61"/>
        <v>0</v>
      </c>
      <c r="K147" s="164">
        <f t="shared" ca="1" si="61"/>
        <v>0</v>
      </c>
      <c r="L147" s="164">
        <f t="shared" ca="1" si="61"/>
        <v>0</v>
      </c>
      <c r="M147" s="164">
        <f t="shared" ca="1" si="61"/>
        <v>0</v>
      </c>
      <c r="N147" s="164">
        <f t="shared" ca="1" si="61"/>
        <v>0</v>
      </c>
      <c r="O147" s="164">
        <f t="shared" ca="1" si="61"/>
        <v>0</v>
      </c>
      <c r="P147" s="164">
        <f t="shared" ca="1" si="61"/>
        <v>0</v>
      </c>
      <c r="Q147" s="164">
        <f t="shared" ca="1" si="61"/>
        <v>0</v>
      </c>
      <c r="R147" s="164">
        <f t="shared" ca="1" si="61"/>
        <v>0</v>
      </c>
      <c r="S147" s="164">
        <f t="shared" ca="1" si="61"/>
        <v>0</v>
      </c>
      <c r="T147" s="164">
        <f t="shared" ca="1" si="61"/>
        <v>0</v>
      </c>
      <c r="U147" s="164">
        <f t="shared" ca="1" si="61"/>
        <v>0</v>
      </c>
      <c r="V147" s="164">
        <f t="shared" ca="1" si="61"/>
        <v>0</v>
      </c>
      <c r="W147" s="164">
        <f t="shared" ca="1" si="61"/>
        <v>0</v>
      </c>
      <c r="X147" s="164">
        <f t="shared" ca="1" si="61"/>
        <v>0</v>
      </c>
      <c r="Y147" s="164">
        <f t="shared" ca="1" si="61"/>
        <v>0</v>
      </c>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97"/>
      <c r="BA147" s="197"/>
      <c r="BB147" s="197"/>
      <c r="BC147" s="197"/>
      <c r="BD147" s="197"/>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118"/>
      <c r="CE147" s="118"/>
    </row>
    <row r="148" spans="1:83" s="38" customFormat="1" ht="14" hidden="1" x14ac:dyDescent="0.3">
      <c r="A148" s="37"/>
      <c r="B148" s="37"/>
      <c r="C148" s="41" t="s">
        <v>293</v>
      </c>
      <c r="D148" s="145">
        <f t="shared" si="41"/>
        <v>0</v>
      </c>
      <c r="E148" s="164">
        <v>0</v>
      </c>
      <c r="F148" s="164">
        <f t="shared" ca="1" si="42"/>
        <v>0</v>
      </c>
      <c r="G148" s="164">
        <f t="shared" ref="G148:Y148" ca="1" si="62">SUMPRODUCT(($H119=$C$79:$C$86)*G$79:G$86)*SUMPRODUCT(($C119=$C$129:$C$148)*$I$100:$I$119)+SUMPRODUCT(($J119=$C$79:$C$86)*G$79:G$86)*SUMPRODUCT(($C119=$C$129:$C$148)*$K$100:$K$119)</f>
        <v>0</v>
      </c>
      <c r="H148" s="164">
        <f t="shared" ca="1" si="62"/>
        <v>0</v>
      </c>
      <c r="I148" s="164">
        <f t="shared" ca="1" si="62"/>
        <v>0</v>
      </c>
      <c r="J148" s="164">
        <f t="shared" ca="1" si="62"/>
        <v>0</v>
      </c>
      <c r="K148" s="164">
        <f t="shared" ca="1" si="62"/>
        <v>0</v>
      </c>
      <c r="L148" s="164">
        <f t="shared" ca="1" si="62"/>
        <v>0</v>
      </c>
      <c r="M148" s="164">
        <f t="shared" ca="1" si="62"/>
        <v>0</v>
      </c>
      <c r="N148" s="164">
        <f t="shared" ca="1" si="62"/>
        <v>0</v>
      </c>
      <c r="O148" s="164">
        <f t="shared" ca="1" si="62"/>
        <v>0</v>
      </c>
      <c r="P148" s="164">
        <f t="shared" ca="1" si="62"/>
        <v>0</v>
      </c>
      <c r="Q148" s="164">
        <f t="shared" ca="1" si="62"/>
        <v>0</v>
      </c>
      <c r="R148" s="164">
        <f t="shared" ca="1" si="62"/>
        <v>0</v>
      </c>
      <c r="S148" s="164">
        <f t="shared" ca="1" si="62"/>
        <v>0</v>
      </c>
      <c r="T148" s="164">
        <f t="shared" ca="1" si="62"/>
        <v>0</v>
      </c>
      <c r="U148" s="164">
        <f t="shared" ca="1" si="62"/>
        <v>0</v>
      </c>
      <c r="V148" s="164">
        <f t="shared" ca="1" si="62"/>
        <v>0</v>
      </c>
      <c r="W148" s="164">
        <f t="shared" ca="1" si="62"/>
        <v>0</v>
      </c>
      <c r="X148" s="164">
        <f t="shared" ca="1" si="62"/>
        <v>0</v>
      </c>
      <c r="Y148" s="164">
        <f t="shared" ca="1" si="62"/>
        <v>0</v>
      </c>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97"/>
      <c r="BA148" s="197"/>
      <c r="BB148" s="197"/>
      <c r="BC148" s="197"/>
      <c r="BD148" s="197"/>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118"/>
      <c r="CE148" s="118"/>
    </row>
    <row r="149" spans="1:83" s="141" customFormat="1" ht="14" hidden="1" x14ac:dyDescent="0.3">
      <c r="A149" s="37"/>
      <c r="B149" s="37"/>
      <c r="C149" s="143" t="s">
        <v>108</v>
      </c>
      <c r="D149" s="143" t="s">
        <v>108</v>
      </c>
      <c r="E149" s="166">
        <f>SUM(E129:E148)</f>
        <v>0</v>
      </c>
      <c r="F149" s="166">
        <f ca="1">SUM(F129:F148)</f>
        <v>199809.25555555554</v>
      </c>
      <c r="G149" s="166">
        <f t="shared" ref="G149:Y149" ca="1" si="63">SUM(G129:G148)</f>
        <v>209799.71833333335</v>
      </c>
      <c r="H149" s="166">
        <f t="shared" ca="1" si="63"/>
        <v>220289.70424999998</v>
      </c>
      <c r="I149" s="166">
        <f t="shared" ca="1" si="63"/>
        <v>231304.18946250001</v>
      </c>
      <c r="J149" s="166">
        <f t="shared" ca="1" si="63"/>
        <v>242869.39893562504</v>
      </c>
      <c r="K149" s="166">
        <f t="shared" ca="1" si="63"/>
        <v>255012.8688824063</v>
      </c>
      <c r="L149" s="166">
        <f t="shared" ca="1" si="63"/>
        <v>267763.51232652663</v>
      </c>
      <c r="M149" s="166">
        <f t="shared" ca="1" si="63"/>
        <v>281151.68794285296</v>
      </c>
      <c r="N149" s="166">
        <f t="shared" ca="1" si="63"/>
        <v>295209.2723399956</v>
      </c>
      <c r="O149" s="166">
        <f t="shared" ca="1" si="63"/>
        <v>309969.7359569954</v>
      </c>
      <c r="P149" s="166">
        <f t="shared" ca="1" si="63"/>
        <v>325468.22275484528</v>
      </c>
      <c r="Q149" s="166">
        <f t="shared" ca="1" si="63"/>
        <v>341741.63389258739</v>
      </c>
      <c r="R149" s="166">
        <f t="shared" ca="1" si="63"/>
        <v>358828.71558721684</v>
      </c>
      <c r="S149" s="166">
        <f t="shared" ca="1" si="63"/>
        <v>376770.15136657777</v>
      </c>
      <c r="T149" s="166">
        <f t="shared" ca="1" si="63"/>
        <v>395608.65893490671</v>
      </c>
      <c r="U149" s="166">
        <f t="shared" ca="1" si="63"/>
        <v>415389.09188165207</v>
      </c>
      <c r="V149" s="166">
        <f t="shared" ca="1" si="63"/>
        <v>436158.54647573474</v>
      </c>
      <c r="W149" s="166">
        <f t="shared" ca="1" si="63"/>
        <v>457966.47379952145</v>
      </c>
      <c r="X149" s="166">
        <f t="shared" ca="1" si="63"/>
        <v>480864.79748949746</v>
      </c>
      <c r="Y149" s="166">
        <f t="shared" ca="1" si="63"/>
        <v>504908.03736397234</v>
      </c>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6"/>
      <c r="AY149" s="236"/>
      <c r="AZ149" s="237"/>
      <c r="BA149" s="237"/>
      <c r="BB149" s="237"/>
      <c r="BC149" s="237"/>
      <c r="BD149" s="237"/>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236"/>
      <c r="CE149" s="236"/>
    </row>
    <row r="150" spans="1:83" s="38" customFormat="1" ht="14" hidden="1" x14ac:dyDescent="0.3">
      <c r="A150" s="37"/>
      <c r="B150" s="37"/>
      <c r="C150" s="142" t="s">
        <v>281</v>
      </c>
      <c r="D150" s="144" t="s">
        <v>281</v>
      </c>
      <c r="E150" s="166">
        <f t="shared" ref="E150:F153" si="64">SUMPRODUCT(($D$129:$D$148=$C150)*E$129:E$148)</f>
        <v>0</v>
      </c>
      <c r="F150" s="166">
        <f t="shared" ca="1" si="64"/>
        <v>102307.72222222222</v>
      </c>
      <c r="G150" s="166">
        <f t="shared" ref="G150:P153" ca="1" si="65">SUMPRODUCT(($D$129:$D$148=$C150)*G$129:G$148)</f>
        <v>107423.10833333334</v>
      </c>
      <c r="H150" s="166">
        <f t="shared" ca="1" si="65"/>
        <v>112794.26375</v>
      </c>
      <c r="I150" s="166">
        <f t="shared" ca="1" si="65"/>
        <v>118433.97693750003</v>
      </c>
      <c r="J150" s="166">
        <f t="shared" ca="1" si="65"/>
        <v>124355.67578437504</v>
      </c>
      <c r="K150" s="166">
        <f t="shared" ca="1" si="65"/>
        <v>130573.45957359378</v>
      </c>
      <c r="L150" s="166">
        <f t="shared" ca="1" si="65"/>
        <v>137102.13255227348</v>
      </c>
      <c r="M150" s="166">
        <f t="shared" ca="1" si="65"/>
        <v>143957.23917988714</v>
      </c>
      <c r="N150" s="166">
        <f t="shared" ca="1" si="65"/>
        <v>151155.10113888149</v>
      </c>
      <c r="O150" s="166">
        <f t="shared" ca="1" si="65"/>
        <v>158712.85619582562</v>
      </c>
      <c r="P150" s="166">
        <f t="shared" ca="1" si="65"/>
        <v>166648.49900561685</v>
      </c>
      <c r="Q150" s="166">
        <f t="shared" ref="Q150:Y153" ca="1" si="66">SUMPRODUCT(($D$129:$D$148=$C150)*Q$129:Q$148)</f>
        <v>174980.92395589774</v>
      </c>
      <c r="R150" s="166">
        <f t="shared" ca="1" si="66"/>
        <v>183729.97015369264</v>
      </c>
      <c r="S150" s="166">
        <f t="shared" ca="1" si="66"/>
        <v>192916.46866137726</v>
      </c>
      <c r="T150" s="166">
        <f t="shared" ca="1" si="66"/>
        <v>202562.29209444611</v>
      </c>
      <c r="U150" s="166">
        <f t="shared" ca="1" si="66"/>
        <v>212690.40669916847</v>
      </c>
      <c r="V150" s="166">
        <f t="shared" ca="1" si="66"/>
        <v>223324.92703412691</v>
      </c>
      <c r="W150" s="166">
        <f t="shared" ca="1" si="66"/>
        <v>234491.17338583327</v>
      </c>
      <c r="X150" s="166">
        <f t="shared" ca="1" si="66"/>
        <v>246215.73205512494</v>
      </c>
      <c r="Y150" s="166">
        <f t="shared" ca="1" si="66"/>
        <v>258526.51865788118</v>
      </c>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97"/>
      <c r="BA150" s="197"/>
      <c r="BB150" s="197"/>
      <c r="BC150" s="197"/>
      <c r="BD150" s="197"/>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118"/>
      <c r="CE150" s="118"/>
    </row>
    <row r="151" spans="1:83" s="38" customFormat="1" ht="14" hidden="1" x14ac:dyDescent="0.3">
      <c r="A151" s="37"/>
      <c r="B151" s="37"/>
      <c r="C151" s="41" t="s">
        <v>282</v>
      </c>
      <c r="D151" s="145" t="s">
        <v>282</v>
      </c>
      <c r="E151" s="164">
        <f t="shared" si="64"/>
        <v>0</v>
      </c>
      <c r="F151" s="164">
        <f t="shared" ca="1" si="64"/>
        <v>46204.444444444438</v>
      </c>
      <c r="G151" s="164">
        <f t="shared" ca="1" si="65"/>
        <v>48514.666666666672</v>
      </c>
      <c r="H151" s="164">
        <f t="shared" ca="1" si="65"/>
        <v>50940.399999999994</v>
      </c>
      <c r="I151" s="164">
        <f t="shared" ca="1" si="65"/>
        <v>53487.420000000006</v>
      </c>
      <c r="J151" s="164">
        <f t="shared" ca="1" si="65"/>
        <v>56161.791000000012</v>
      </c>
      <c r="K151" s="164">
        <f t="shared" ca="1" si="65"/>
        <v>58969.880550000016</v>
      </c>
      <c r="L151" s="164">
        <f t="shared" ca="1" si="65"/>
        <v>61918.374577500013</v>
      </c>
      <c r="M151" s="164">
        <f t="shared" ca="1" si="65"/>
        <v>65014.293306375024</v>
      </c>
      <c r="N151" s="164">
        <f t="shared" ca="1" si="65"/>
        <v>68265.007971693776</v>
      </c>
      <c r="O151" s="164">
        <f t="shared" ca="1" si="65"/>
        <v>71678.258370278461</v>
      </c>
      <c r="P151" s="164">
        <f t="shared" ca="1" si="65"/>
        <v>75262.171288792379</v>
      </c>
      <c r="Q151" s="164">
        <f t="shared" ca="1" si="66"/>
        <v>79025.279853232001</v>
      </c>
      <c r="R151" s="164">
        <f t="shared" ca="1" si="66"/>
        <v>82976.543845893611</v>
      </c>
      <c r="S151" s="164">
        <f t="shared" ca="1" si="66"/>
        <v>87125.371038188299</v>
      </c>
      <c r="T151" s="164">
        <f t="shared" ca="1" si="66"/>
        <v>91481.639590097722</v>
      </c>
      <c r="U151" s="164">
        <f t="shared" ca="1" si="66"/>
        <v>96055.721569602611</v>
      </c>
      <c r="V151" s="164">
        <f t="shared" ca="1" si="66"/>
        <v>100858.50764808274</v>
      </c>
      <c r="W151" s="164">
        <f t="shared" ca="1" si="66"/>
        <v>105901.43303048691</v>
      </c>
      <c r="X151" s="164">
        <f t="shared" ca="1" si="66"/>
        <v>111196.50468201123</v>
      </c>
      <c r="Y151" s="164">
        <f t="shared" ca="1" si="66"/>
        <v>116756.3299161118</v>
      </c>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97"/>
      <c r="BA151" s="197"/>
      <c r="BB151" s="197"/>
      <c r="BC151" s="197"/>
      <c r="BD151" s="197"/>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118"/>
      <c r="CE151" s="118"/>
    </row>
    <row r="152" spans="1:83" s="38" customFormat="1" ht="14" hidden="1" x14ac:dyDescent="0.3">
      <c r="A152" s="37"/>
      <c r="B152" s="37"/>
      <c r="C152" s="41" t="s">
        <v>283</v>
      </c>
      <c r="D152" s="145" t="s">
        <v>283</v>
      </c>
      <c r="E152" s="164">
        <f t="shared" si="64"/>
        <v>0</v>
      </c>
      <c r="F152" s="164">
        <f t="shared" ca="1" si="64"/>
        <v>49048.2</v>
      </c>
      <c r="G152" s="164">
        <f t="shared" ca="1" si="65"/>
        <v>51500.61</v>
      </c>
      <c r="H152" s="164">
        <f t="shared" ca="1" si="65"/>
        <v>54075.640500000001</v>
      </c>
      <c r="I152" s="164">
        <f t="shared" ca="1" si="65"/>
        <v>56779.422525000009</v>
      </c>
      <c r="J152" s="164">
        <f t="shared" ca="1" si="65"/>
        <v>59618.393651250008</v>
      </c>
      <c r="K152" s="164">
        <f t="shared" ca="1" si="65"/>
        <v>62599.313333812519</v>
      </c>
      <c r="L152" s="164">
        <f t="shared" ca="1" si="65"/>
        <v>65729.279000503157</v>
      </c>
      <c r="M152" s="164">
        <f t="shared" ca="1" si="65"/>
        <v>69015.742950528307</v>
      </c>
      <c r="N152" s="164">
        <f t="shared" ca="1" si="65"/>
        <v>72466.530098054718</v>
      </c>
      <c r="O152" s="164">
        <f t="shared" ca="1" si="65"/>
        <v>76089.856602957472</v>
      </c>
      <c r="P152" s="164">
        <f t="shared" ca="1" si="65"/>
        <v>79894.349433105323</v>
      </c>
      <c r="Q152" s="164">
        <f t="shared" ca="1" si="66"/>
        <v>83889.066904760606</v>
      </c>
      <c r="R152" s="164">
        <f t="shared" ca="1" si="66"/>
        <v>88083.520249998648</v>
      </c>
      <c r="S152" s="164">
        <f t="shared" ca="1" si="66"/>
        <v>92487.696262498575</v>
      </c>
      <c r="T152" s="164">
        <f t="shared" ca="1" si="66"/>
        <v>97112.081075623515</v>
      </c>
      <c r="U152" s="164">
        <f t="shared" ca="1" si="66"/>
        <v>101967.68512940469</v>
      </c>
      <c r="V152" s="164">
        <f t="shared" ca="1" si="66"/>
        <v>107066.06938587494</v>
      </c>
      <c r="W152" s="164">
        <f t="shared" ca="1" si="66"/>
        <v>112419.37285516869</v>
      </c>
      <c r="X152" s="164">
        <f t="shared" ca="1" si="66"/>
        <v>118040.34149792715</v>
      </c>
      <c r="Y152" s="164">
        <f t="shared" ca="1" si="66"/>
        <v>123942.35857282349</v>
      </c>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97"/>
      <c r="BA152" s="197"/>
      <c r="BB152" s="197"/>
      <c r="BC152" s="197"/>
      <c r="BD152" s="197"/>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118"/>
      <c r="CE152" s="118"/>
    </row>
    <row r="153" spans="1:83" s="38" customFormat="1" ht="14" hidden="1" x14ac:dyDescent="0.3">
      <c r="A153" s="37"/>
      <c r="B153" s="37"/>
      <c r="C153" s="41"/>
      <c r="D153" s="41" t="s">
        <v>296</v>
      </c>
      <c r="E153" s="164">
        <f t="shared" si="64"/>
        <v>0</v>
      </c>
      <c r="F153" s="164">
        <f t="shared" ca="1" si="64"/>
        <v>0</v>
      </c>
      <c r="G153" s="164">
        <f t="shared" ca="1" si="65"/>
        <v>0</v>
      </c>
      <c r="H153" s="164">
        <f t="shared" ca="1" si="65"/>
        <v>0</v>
      </c>
      <c r="I153" s="164">
        <f t="shared" ca="1" si="65"/>
        <v>0</v>
      </c>
      <c r="J153" s="164">
        <f t="shared" ca="1" si="65"/>
        <v>0</v>
      </c>
      <c r="K153" s="164">
        <f t="shared" ca="1" si="65"/>
        <v>0</v>
      </c>
      <c r="L153" s="164">
        <f t="shared" ca="1" si="65"/>
        <v>0</v>
      </c>
      <c r="M153" s="164">
        <f t="shared" ca="1" si="65"/>
        <v>0</v>
      </c>
      <c r="N153" s="164">
        <f t="shared" ca="1" si="65"/>
        <v>0</v>
      </c>
      <c r="O153" s="164">
        <f t="shared" ca="1" si="65"/>
        <v>0</v>
      </c>
      <c r="P153" s="164">
        <f t="shared" ca="1" si="65"/>
        <v>0</v>
      </c>
      <c r="Q153" s="164">
        <f t="shared" ca="1" si="66"/>
        <v>0</v>
      </c>
      <c r="R153" s="164">
        <f t="shared" ca="1" si="66"/>
        <v>0</v>
      </c>
      <c r="S153" s="164">
        <f t="shared" ca="1" si="66"/>
        <v>0</v>
      </c>
      <c r="T153" s="164">
        <f t="shared" ca="1" si="66"/>
        <v>0</v>
      </c>
      <c r="U153" s="164">
        <f t="shared" ca="1" si="66"/>
        <v>0</v>
      </c>
      <c r="V153" s="164">
        <f t="shared" ca="1" si="66"/>
        <v>0</v>
      </c>
      <c r="W153" s="164">
        <f t="shared" ca="1" si="66"/>
        <v>0</v>
      </c>
      <c r="X153" s="164">
        <f t="shared" ca="1" si="66"/>
        <v>0</v>
      </c>
      <c r="Y153" s="164">
        <f t="shared" ca="1" si="66"/>
        <v>0</v>
      </c>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97"/>
      <c r="BA153" s="197"/>
      <c r="BB153" s="197"/>
      <c r="BC153" s="197"/>
      <c r="BD153" s="197"/>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118"/>
      <c r="CE153" s="118"/>
    </row>
    <row r="154" spans="1:83" s="38" customFormat="1" ht="14" hidden="1" x14ac:dyDescent="0.3">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97"/>
      <c r="BA154" s="197"/>
      <c r="BB154" s="197"/>
      <c r="BC154" s="197"/>
      <c r="BD154" s="197"/>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118"/>
      <c r="CE154" s="118"/>
    </row>
    <row r="155" spans="1:83" s="38" customFormat="1" ht="14" hidden="1" x14ac:dyDescent="0.3">
      <c r="A155" s="37"/>
      <c r="B155" s="37"/>
      <c r="C155" s="37" t="s">
        <v>334</v>
      </c>
      <c r="D155" s="37"/>
      <c r="E155" s="37"/>
      <c r="F155" s="37"/>
      <c r="G155" s="37"/>
      <c r="H155" s="37"/>
      <c r="I155" s="37"/>
      <c r="J155" s="37"/>
      <c r="K155" s="37"/>
      <c r="L155" s="37"/>
      <c r="M155" s="37"/>
      <c r="N155" s="37"/>
      <c r="O155" s="37"/>
      <c r="P155" s="37"/>
      <c r="Q155" s="37"/>
      <c r="R155" s="37"/>
      <c r="S155" s="37"/>
      <c r="T155" s="37"/>
      <c r="U155" s="37"/>
      <c r="V155" s="37"/>
      <c r="W155" s="37"/>
      <c r="X155" s="37"/>
      <c r="Y155" s="37"/>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97"/>
      <c r="BA155" s="197"/>
      <c r="BB155" s="197"/>
      <c r="BC155" s="197"/>
      <c r="BD155" s="197"/>
      <c r="BE155" s="60"/>
      <c r="BF155" s="60"/>
      <c r="BG155" s="60"/>
      <c r="BH155" s="60"/>
      <c r="BI155" s="60"/>
      <c r="BJ155" s="60"/>
      <c r="BK155" s="60"/>
      <c r="BL155" s="60"/>
      <c r="BM155" s="60"/>
      <c r="BN155" s="60"/>
      <c r="BO155" s="60"/>
      <c r="BP155" s="60"/>
      <c r="BQ155" s="60"/>
      <c r="BR155" s="60"/>
      <c r="BS155" s="60"/>
      <c r="BT155" s="60"/>
      <c r="BU155" s="60"/>
      <c r="BV155" s="60"/>
      <c r="BW155" s="60"/>
      <c r="BX155" s="60"/>
      <c r="BY155" s="60"/>
      <c r="BZ155" s="60"/>
      <c r="CA155" s="60"/>
      <c r="CB155" s="60"/>
      <c r="CC155" s="60"/>
      <c r="CD155" s="118"/>
      <c r="CE155" s="118"/>
    </row>
    <row r="156" spans="1:83" s="38" customFormat="1" ht="14" hidden="1" x14ac:dyDescent="0.3">
      <c r="A156" s="37"/>
      <c r="B156" s="37"/>
      <c r="C156" s="37" t="s">
        <v>276</v>
      </c>
      <c r="D156" s="37"/>
      <c r="E156" s="37"/>
      <c r="F156" s="37"/>
      <c r="G156" s="37"/>
      <c r="H156" s="37"/>
      <c r="I156" s="37"/>
      <c r="J156" s="37"/>
      <c r="K156" s="37"/>
      <c r="L156" s="37"/>
      <c r="M156" s="37"/>
      <c r="N156" s="37"/>
      <c r="O156" s="37"/>
      <c r="P156" s="37"/>
      <c r="Q156" s="37"/>
      <c r="R156" s="37"/>
      <c r="S156" s="37"/>
      <c r="T156" s="37"/>
      <c r="U156" s="37"/>
      <c r="V156" s="37"/>
      <c r="W156" s="37"/>
      <c r="X156" s="37"/>
      <c r="Y156" s="37"/>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97"/>
      <c r="BA156" s="197"/>
      <c r="BB156" s="197"/>
      <c r="BC156" s="197"/>
      <c r="BD156" s="197"/>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118"/>
      <c r="CE156" s="118"/>
    </row>
    <row r="157" spans="1:83" s="38" customFormat="1" ht="14" hidden="1" x14ac:dyDescent="0.3">
      <c r="A157" s="139"/>
      <c r="B157" s="139"/>
      <c r="C157" s="167"/>
      <c r="D157" s="168"/>
      <c r="E157" s="139">
        <v>0</v>
      </c>
      <c r="F157" s="139">
        <f t="shared" ref="F157:U157" si="67">E157+1</f>
        <v>1</v>
      </c>
      <c r="G157" s="139">
        <f t="shared" si="67"/>
        <v>2</v>
      </c>
      <c r="H157" s="139">
        <f t="shared" si="67"/>
        <v>3</v>
      </c>
      <c r="I157" s="139">
        <f t="shared" si="67"/>
        <v>4</v>
      </c>
      <c r="J157" s="139">
        <f t="shared" si="67"/>
        <v>5</v>
      </c>
      <c r="K157" s="139">
        <f t="shared" si="67"/>
        <v>6</v>
      </c>
      <c r="L157" s="139">
        <f t="shared" si="67"/>
        <v>7</v>
      </c>
      <c r="M157" s="139">
        <f t="shared" si="67"/>
        <v>8</v>
      </c>
      <c r="N157" s="139">
        <f t="shared" si="67"/>
        <v>9</v>
      </c>
      <c r="O157" s="139">
        <f t="shared" si="67"/>
        <v>10</v>
      </c>
      <c r="P157" s="139">
        <f t="shared" si="67"/>
        <v>11</v>
      </c>
      <c r="Q157" s="139">
        <f t="shared" si="67"/>
        <v>12</v>
      </c>
      <c r="R157" s="139">
        <f t="shared" si="67"/>
        <v>13</v>
      </c>
      <c r="S157" s="139">
        <f t="shared" si="67"/>
        <v>14</v>
      </c>
      <c r="T157" s="139">
        <f t="shared" si="67"/>
        <v>15</v>
      </c>
      <c r="U157" s="139">
        <f t="shared" si="67"/>
        <v>16</v>
      </c>
      <c r="V157" s="139">
        <f>U157+1</f>
        <v>17</v>
      </c>
      <c r="W157" s="139">
        <f>V157+1</f>
        <v>18</v>
      </c>
      <c r="X157" s="139">
        <f>W157+1</f>
        <v>19</v>
      </c>
      <c r="Y157" s="139">
        <f>X157+1</f>
        <v>20</v>
      </c>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97"/>
      <c r="BA157" s="197"/>
      <c r="BB157" s="197"/>
      <c r="BC157" s="197"/>
      <c r="BD157" s="197"/>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118"/>
      <c r="CE157" s="118"/>
    </row>
    <row r="158" spans="1:83" s="38" customFormat="1" ht="14" hidden="1" x14ac:dyDescent="0.3">
      <c r="A158" s="37"/>
      <c r="B158" s="37"/>
      <c r="C158" s="142" t="s">
        <v>113</v>
      </c>
      <c r="D158" s="144" t="str">
        <f t="shared" ref="D158:D177" si="68">D7</f>
        <v>Prioritaire</v>
      </c>
      <c r="E158" s="166">
        <v>0</v>
      </c>
      <c r="F158" s="166">
        <f t="shared" ref="F158:Y158" si="69">IF($I7="",0,$I7)</f>
        <v>-3000</v>
      </c>
      <c r="G158" s="166">
        <f t="shared" si="69"/>
        <v>-3000</v>
      </c>
      <c r="H158" s="166">
        <f t="shared" si="69"/>
        <v>-3000</v>
      </c>
      <c r="I158" s="166">
        <f t="shared" si="69"/>
        <v>-3000</v>
      </c>
      <c r="J158" s="166">
        <f t="shared" si="69"/>
        <v>-3000</v>
      </c>
      <c r="K158" s="166">
        <f t="shared" si="69"/>
        <v>-3000</v>
      </c>
      <c r="L158" s="166">
        <f t="shared" si="69"/>
        <v>-3000</v>
      </c>
      <c r="M158" s="166">
        <f t="shared" si="69"/>
        <v>-3000</v>
      </c>
      <c r="N158" s="166">
        <f t="shared" si="69"/>
        <v>-3000</v>
      </c>
      <c r="O158" s="166">
        <f t="shared" si="69"/>
        <v>-3000</v>
      </c>
      <c r="P158" s="166">
        <f t="shared" si="69"/>
        <v>-3000</v>
      </c>
      <c r="Q158" s="166">
        <f t="shared" si="69"/>
        <v>-3000</v>
      </c>
      <c r="R158" s="166">
        <f t="shared" si="69"/>
        <v>-3000</v>
      </c>
      <c r="S158" s="166">
        <f t="shared" si="69"/>
        <v>-3000</v>
      </c>
      <c r="T158" s="166">
        <f t="shared" si="69"/>
        <v>-3000</v>
      </c>
      <c r="U158" s="166">
        <f t="shared" si="69"/>
        <v>-3000</v>
      </c>
      <c r="V158" s="166">
        <f t="shared" si="69"/>
        <v>-3000</v>
      </c>
      <c r="W158" s="166">
        <f t="shared" si="69"/>
        <v>-3000</v>
      </c>
      <c r="X158" s="166">
        <f t="shared" si="69"/>
        <v>-3000</v>
      </c>
      <c r="Y158" s="166">
        <f t="shared" si="69"/>
        <v>-3000</v>
      </c>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97"/>
      <c r="BA158" s="197"/>
      <c r="BB158" s="197"/>
      <c r="BC158" s="197"/>
      <c r="BD158" s="197"/>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118"/>
      <c r="CE158" s="118"/>
    </row>
    <row r="159" spans="1:83" s="38" customFormat="1" ht="14" hidden="1" x14ac:dyDescent="0.3">
      <c r="A159" s="37"/>
      <c r="B159" s="37"/>
      <c r="C159" s="41" t="s">
        <v>114</v>
      </c>
      <c r="D159" s="145" t="str">
        <f t="shared" si="68"/>
        <v>Très ambitieux</v>
      </c>
      <c r="E159" s="164">
        <v>0</v>
      </c>
      <c r="F159" s="164">
        <f t="shared" ref="F159:Y159" si="70">IF($I8="",0,$I8)</f>
        <v>0</v>
      </c>
      <c r="G159" s="164">
        <f t="shared" si="70"/>
        <v>0</v>
      </c>
      <c r="H159" s="164">
        <f t="shared" si="70"/>
        <v>0</v>
      </c>
      <c r="I159" s="164">
        <f t="shared" si="70"/>
        <v>0</v>
      </c>
      <c r="J159" s="164">
        <f t="shared" si="70"/>
        <v>0</v>
      </c>
      <c r="K159" s="164">
        <f t="shared" si="70"/>
        <v>0</v>
      </c>
      <c r="L159" s="164">
        <f t="shared" si="70"/>
        <v>0</v>
      </c>
      <c r="M159" s="164">
        <f t="shared" si="70"/>
        <v>0</v>
      </c>
      <c r="N159" s="164">
        <f t="shared" si="70"/>
        <v>0</v>
      </c>
      <c r="O159" s="164">
        <f t="shared" si="70"/>
        <v>0</v>
      </c>
      <c r="P159" s="164">
        <f t="shared" si="70"/>
        <v>0</v>
      </c>
      <c r="Q159" s="164">
        <f t="shared" si="70"/>
        <v>0</v>
      </c>
      <c r="R159" s="164">
        <f t="shared" si="70"/>
        <v>0</v>
      </c>
      <c r="S159" s="164">
        <f t="shared" si="70"/>
        <v>0</v>
      </c>
      <c r="T159" s="164">
        <f t="shared" si="70"/>
        <v>0</v>
      </c>
      <c r="U159" s="164">
        <f t="shared" si="70"/>
        <v>0</v>
      </c>
      <c r="V159" s="164">
        <f t="shared" si="70"/>
        <v>0</v>
      </c>
      <c r="W159" s="164">
        <f t="shared" si="70"/>
        <v>0</v>
      </c>
      <c r="X159" s="164">
        <f t="shared" si="70"/>
        <v>0</v>
      </c>
      <c r="Y159" s="164">
        <f t="shared" si="70"/>
        <v>0</v>
      </c>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97"/>
      <c r="BA159" s="197"/>
      <c r="BB159" s="197"/>
      <c r="BC159" s="197"/>
      <c r="BD159" s="197"/>
      <c r="BE159" s="60"/>
      <c r="BF159" s="60"/>
      <c r="BG159" s="60"/>
      <c r="BH159" s="60"/>
      <c r="BI159" s="60"/>
      <c r="BJ159" s="60"/>
      <c r="BK159" s="60"/>
      <c r="BL159" s="60"/>
      <c r="BM159" s="60"/>
      <c r="BN159" s="60"/>
      <c r="BO159" s="60"/>
      <c r="BP159" s="60"/>
      <c r="BQ159" s="60"/>
      <c r="BR159" s="60"/>
      <c r="BS159" s="60"/>
      <c r="BT159" s="60"/>
      <c r="BU159" s="60"/>
      <c r="BV159" s="60"/>
      <c r="BW159" s="60"/>
      <c r="BX159" s="60"/>
      <c r="BY159" s="60"/>
      <c r="BZ159" s="60"/>
      <c r="CA159" s="60"/>
      <c r="CB159" s="60"/>
      <c r="CC159" s="60"/>
      <c r="CD159" s="118"/>
      <c r="CE159" s="118"/>
    </row>
    <row r="160" spans="1:83" s="38" customFormat="1" ht="14" hidden="1" x14ac:dyDescent="0.3">
      <c r="A160" s="37"/>
      <c r="B160" s="37"/>
      <c r="C160" s="41" t="s">
        <v>115</v>
      </c>
      <c r="D160" s="145" t="str">
        <f t="shared" si="68"/>
        <v>Très ambitieux</v>
      </c>
      <c r="E160" s="164">
        <v>0</v>
      </c>
      <c r="F160" s="164">
        <f t="shared" ref="F160:Y160" si="71">IF($I9="",0,$I9)</f>
        <v>1000</v>
      </c>
      <c r="G160" s="164">
        <f t="shared" si="71"/>
        <v>1000</v>
      </c>
      <c r="H160" s="164">
        <f t="shared" si="71"/>
        <v>1000</v>
      </c>
      <c r="I160" s="164">
        <f t="shared" si="71"/>
        <v>1000</v>
      </c>
      <c r="J160" s="164">
        <f t="shared" si="71"/>
        <v>1000</v>
      </c>
      <c r="K160" s="164">
        <f t="shared" si="71"/>
        <v>1000</v>
      </c>
      <c r="L160" s="164">
        <f t="shared" si="71"/>
        <v>1000</v>
      </c>
      <c r="M160" s="164">
        <f t="shared" si="71"/>
        <v>1000</v>
      </c>
      <c r="N160" s="164">
        <f t="shared" si="71"/>
        <v>1000</v>
      </c>
      <c r="O160" s="164">
        <f t="shared" si="71"/>
        <v>1000</v>
      </c>
      <c r="P160" s="164">
        <f t="shared" si="71"/>
        <v>1000</v>
      </c>
      <c r="Q160" s="164">
        <f t="shared" si="71"/>
        <v>1000</v>
      </c>
      <c r="R160" s="164">
        <f t="shared" si="71"/>
        <v>1000</v>
      </c>
      <c r="S160" s="164">
        <f t="shared" si="71"/>
        <v>1000</v>
      </c>
      <c r="T160" s="164">
        <f t="shared" si="71"/>
        <v>1000</v>
      </c>
      <c r="U160" s="164">
        <f t="shared" si="71"/>
        <v>1000</v>
      </c>
      <c r="V160" s="164">
        <f t="shared" si="71"/>
        <v>1000</v>
      </c>
      <c r="W160" s="164">
        <f t="shared" si="71"/>
        <v>1000</v>
      </c>
      <c r="X160" s="164">
        <f t="shared" si="71"/>
        <v>1000</v>
      </c>
      <c r="Y160" s="164">
        <f t="shared" si="71"/>
        <v>1000</v>
      </c>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97"/>
      <c r="BA160" s="197"/>
      <c r="BB160" s="197"/>
      <c r="BC160" s="197"/>
      <c r="BD160" s="197"/>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c r="CA160" s="60"/>
      <c r="CB160" s="60"/>
      <c r="CC160" s="60"/>
      <c r="CD160" s="118"/>
      <c r="CE160" s="118"/>
    </row>
    <row r="161" spans="1:83" s="38" customFormat="1" ht="14" hidden="1" x14ac:dyDescent="0.3">
      <c r="A161" s="37"/>
      <c r="B161" s="37"/>
      <c r="C161" s="41" t="s">
        <v>116</v>
      </c>
      <c r="D161" s="145" t="str">
        <f t="shared" si="68"/>
        <v>Très ambitieux</v>
      </c>
      <c r="E161" s="164">
        <v>0</v>
      </c>
      <c r="F161" s="164">
        <f t="shared" ref="F161:Y161" si="72">IF($I10="",0,$I10)</f>
        <v>0</v>
      </c>
      <c r="G161" s="164">
        <f t="shared" si="72"/>
        <v>0</v>
      </c>
      <c r="H161" s="164">
        <f t="shared" si="72"/>
        <v>0</v>
      </c>
      <c r="I161" s="164">
        <f t="shared" si="72"/>
        <v>0</v>
      </c>
      <c r="J161" s="164">
        <f t="shared" si="72"/>
        <v>0</v>
      </c>
      <c r="K161" s="164">
        <f t="shared" si="72"/>
        <v>0</v>
      </c>
      <c r="L161" s="164">
        <f t="shared" si="72"/>
        <v>0</v>
      </c>
      <c r="M161" s="164">
        <f t="shared" si="72"/>
        <v>0</v>
      </c>
      <c r="N161" s="164">
        <f t="shared" si="72"/>
        <v>0</v>
      </c>
      <c r="O161" s="164">
        <f t="shared" si="72"/>
        <v>0</v>
      </c>
      <c r="P161" s="164">
        <f t="shared" si="72"/>
        <v>0</v>
      </c>
      <c r="Q161" s="164">
        <f t="shared" si="72"/>
        <v>0</v>
      </c>
      <c r="R161" s="164">
        <f t="shared" si="72"/>
        <v>0</v>
      </c>
      <c r="S161" s="164">
        <f t="shared" si="72"/>
        <v>0</v>
      </c>
      <c r="T161" s="164">
        <f t="shared" si="72"/>
        <v>0</v>
      </c>
      <c r="U161" s="164">
        <f t="shared" si="72"/>
        <v>0</v>
      </c>
      <c r="V161" s="164">
        <f t="shared" si="72"/>
        <v>0</v>
      </c>
      <c r="W161" s="164">
        <f t="shared" si="72"/>
        <v>0</v>
      </c>
      <c r="X161" s="164">
        <f t="shared" si="72"/>
        <v>0</v>
      </c>
      <c r="Y161" s="164">
        <f t="shared" si="72"/>
        <v>0</v>
      </c>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97"/>
      <c r="BA161" s="197"/>
      <c r="BB161" s="197"/>
      <c r="BC161" s="197"/>
      <c r="BD161" s="197"/>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118"/>
      <c r="CE161" s="118"/>
    </row>
    <row r="162" spans="1:83" s="38" customFormat="1" ht="14" hidden="1" x14ac:dyDescent="0.3">
      <c r="A162" s="37"/>
      <c r="B162" s="37"/>
      <c r="C162" s="41" t="s">
        <v>117</v>
      </c>
      <c r="D162" s="145" t="str">
        <f t="shared" si="68"/>
        <v>Prioritaire</v>
      </c>
      <c r="E162" s="164">
        <v>0</v>
      </c>
      <c r="F162" s="164">
        <f t="shared" ref="F162:Y162" si="73">IF($I11="",0,$I11)</f>
        <v>-1500</v>
      </c>
      <c r="G162" s="164">
        <f t="shared" si="73"/>
        <v>-1500</v>
      </c>
      <c r="H162" s="164">
        <f t="shared" si="73"/>
        <v>-1500</v>
      </c>
      <c r="I162" s="164">
        <f t="shared" si="73"/>
        <v>-1500</v>
      </c>
      <c r="J162" s="164">
        <f t="shared" si="73"/>
        <v>-1500</v>
      </c>
      <c r="K162" s="164">
        <f t="shared" si="73"/>
        <v>-1500</v>
      </c>
      <c r="L162" s="164">
        <f t="shared" si="73"/>
        <v>-1500</v>
      </c>
      <c r="M162" s="164">
        <f t="shared" si="73"/>
        <v>-1500</v>
      </c>
      <c r="N162" s="164">
        <f t="shared" si="73"/>
        <v>-1500</v>
      </c>
      <c r="O162" s="164">
        <f t="shared" si="73"/>
        <v>-1500</v>
      </c>
      <c r="P162" s="164">
        <f t="shared" si="73"/>
        <v>-1500</v>
      </c>
      <c r="Q162" s="164">
        <f t="shared" si="73"/>
        <v>-1500</v>
      </c>
      <c r="R162" s="164">
        <f t="shared" si="73"/>
        <v>-1500</v>
      </c>
      <c r="S162" s="164">
        <f t="shared" si="73"/>
        <v>-1500</v>
      </c>
      <c r="T162" s="164">
        <f t="shared" si="73"/>
        <v>-1500</v>
      </c>
      <c r="U162" s="164">
        <f t="shared" si="73"/>
        <v>-1500</v>
      </c>
      <c r="V162" s="164">
        <f t="shared" si="73"/>
        <v>-1500</v>
      </c>
      <c r="W162" s="164">
        <f t="shared" si="73"/>
        <v>-1500</v>
      </c>
      <c r="X162" s="164">
        <f t="shared" si="73"/>
        <v>-1500</v>
      </c>
      <c r="Y162" s="164">
        <f t="shared" si="73"/>
        <v>-1500</v>
      </c>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97"/>
      <c r="BA162" s="197"/>
      <c r="BB162" s="197"/>
      <c r="BC162" s="197"/>
      <c r="BD162" s="197"/>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118"/>
      <c r="CE162" s="118"/>
    </row>
    <row r="163" spans="1:83" s="38" customFormat="1" ht="14" hidden="1" x14ac:dyDescent="0.3">
      <c r="A163" s="37"/>
      <c r="B163" s="37"/>
      <c r="C163" s="41" t="s">
        <v>118</v>
      </c>
      <c r="D163" s="145" t="str">
        <f t="shared" si="68"/>
        <v>Ambitieux</v>
      </c>
      <c r="E163" s="164">
        <v>0</v>
      </c>
      <c r="F163" s="164">
        <f t="shared" ref="F163:Y163" si="74">IF($I12="",0,$I12)</f>
        <v>0</v>
      </c>
      <c r="G163" s="164">
        <f t="shared" si="74"/>
        <v>0</v>
      </c>
      <c r="H163" s="164">
        <f t="shared" si="74"/>
        <v>0</v>
      </c>
      <c r="I163" s="164">
        <f t="shared" si="74"/>
        <v>0</v>
      </c>
      <c r="J163" s="164">
        <f t="shared" si="74"/>
        <v>0</v>
      </c>
      <c r="K163" s="164">
        <f t="shared" si="74"/>
        <v>0</v>
      </c>
      <c r="L163" s="164">
        <f t="shared" si="74"/>
        <v>0</v>
      </c>
      <c r="M163" s="164">
        <f t="shared" si="74"/>
        <v>0</v>
      </c>
      <c r="N163" s="164">
        <f t="shared" si="74"/>
        <v>0</v>
      </c>
      <c r="O163" s="164">
        <f t="shared" si="74"/>
        <v>0</v>
      </c>
      <c r="P163" s="164">
        <f t="shared" si="74"/>
        <v>0</v>
      </c>
      <c r="Q163" s="164">
        <f t="shared" si="74"/>
        <v>0</v>
      </c>
      <c r="R163" s="164">
        <f t="shared" si="74"/>
        <v>0</v>
      </c>
      <c r="S163" s="164">
        <f t="shared" si="74"/>
        <v>0</v>
      </c>
      <c r="T163" s="164">
        <f t="shared" si="74"/>
        <v>0</v>
      </c>
      <c r="U163" s="164">
        <f t="shared" si="74"/>
        <v>0</v>
      </c>
      <c r="V163" s="164">
        <f t="shared" si="74"/>
        <v>0</v>
      </c>
      <c r="W163" s="164">
        <f t="shared" si="74"/>
        <v>0</v>
      </c>
      <c r="X163" s="164">
        <f t="shared" si="74"/>
        <v>0</v>
      </c>
      <c r="Y163" s="164">
        <f t="shared" si="74"/>
        <v>0</v>
      </c>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97"/>
      <c r="BA163" s="197"/>
      <c r="BB163" s="197"/>
      <c r="BC163" s="197"/>
      <c r="BD163" s="197"/>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118"/>
      <c r="CE163" s="118"/>
    </row>
    <row r="164" spans="1:83" s="38" customFormat="1" ht="14" hidden="1" x14ac:dyDescent="0.3">
      <c r="A164" s="37"/>
      <c r="B164" s="37"/>
      <c r="C164" s="41" t="s">
        <v>123</v>
      </c>
      <c r="D164" s="145" t="str">
        <f t="shared" si="68"/>
        <v>Prioritaire</v>
      </c>
      <c r="E164" s="164">
        <v>0</v>
      </c>
      <c r="F164" s="164">
        <f t="shared" ref="F164:Y164" si="75">IF($I13="",0,$I13)</f>
        <v>0</v>
      </c>
      <c r="G164" s="164">
        <f t="shared" si="75"/>
        <v>0</v>
      </c>
      <c r="H164" s="164">
        <f t="shared" si="75"/>
        <v>0</v>
      </c>
      <c r="I164" s="164">
        <f t="shared" si="75"/>
        <v>0</v>
      </c>
      <c r="J164" s="164">
        <f t="shared" si="75"/>
        <v>0</v>
      </c>
      <c r="K164" s="164">
        <f t="shared" si="75"/>
        <v>0</v>
      </c>
      <c r="L164" s="164">
        <f t="shared" si="75"/>
        <v>0</v>
      </c>
      <c r="M164" s="164">
        <f t="shared" si="75"/>
        <v>0</v>
      </c>
      <c r="N164" s="164">
        <f t="shared" si="75"/>
        <v>0</v>
      </c>
      <c r="O164" s="164">
        <f t="shared" si="75"/>
        <v>0</v>
      </c>
      <c r="P164" s="164">
        <f t="shared" si="75"/>
        <v>0</v>
      </c>
      <c r="Q164" s="164">
        <f t="shared" si="75"/>
        <v>0</v>
      </c>
      <c r="R164" s="164">
        <f t="shared" si="75"/>
        <v>0</v>
      </c>
      <c r="S164" s="164">
        <f t="shared" si="75"/>
        <v>0</v>
      </c>
      <c r="T164" s="164">
        <f t="shared" si="75"/>
        <v>0</v>
      </c>
      <c r="U164" s="164">
        <f t="shared" si="75"/>
        <v>0</v>
      </c>
      <c r="V164" s="164">
        <f t="shared" si="75"/>
        <v>0</v>
      </c>
      <c r="W164" s="164">
        <f t="shared" si="75"/>
        <v>0</v>
      </c>
      <c r="X164" s="164">
        <f t="shared" si="75"/>
        <v>0</v>
      </c>
      <c r="Y164" s="164">
        <f t="shared" si="75"/>
        <v>0</v>
      </c>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97"/>
      <c r="BA164" s="197"/>
      <c r="BB164" s="197"/>
      <c r="BC164" s="197"/>
      <c r="BD164" s="197"/>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c r="CA164" s="60"/>
      <c r="CB164" s="60"/>
      <c r="CC164" s="60"/>
      <c r="CD164" s="118"/>
      <c r="CE164" s="118"/>
    </row>
    <row r="165" spans="1:83" s="38" customFormat="1" ht="14" hidden="1" x14ac:dyDescent="0.3">
      <c r="A165" s="37"/>
      <c r="B165" s="37"/>
      <c r="C165" s="41" t="s">
        <v>124</v>
      </c>
      <c r="D165" s="145" t="str">
        <f t="shared" si="68"/>
        <v>Prioritaire</v>
      </c>
      <c r="E165" s="164">
        <v>0</v>
      </c>
      <c r="F165" s="164">
        <f t="shared" ref="F165:Y165" si="76">IF($I14="",0,$I14)</f>
        <v>0</v>
      </c>
      <c r="G165" s="164">
        <f t="shared" si="76"/>
        <v>0</v>
      </c>
      <c r="H165" s="164">
        <f t="shared" si="76"/>
        <v>0</v>
      </c>
      <c r="I165" s="164">
        <f t="shared" si="76"/>
        <v>0</v>
      </c>
      <c r="J165" s="164">
        <f t="shared" si="76"/>
        <v>0</v>
      </c>
      <c r="K165" s="164">
        <f t="shared" si="76"/>
        <v>0</v>
      </c>
      <c r="L165" s="164">
        <f t="shared" si="76"/>
        <v>0</v>
      </c>
      <c r="M165" s="164">
        <f t="shared" si="76"/>
        <v>0</v>
      </c>
      <c r="N165" s="164">
        <f t="shared" si="76"/>
        <v>0</v>
      </c>
      <c r="O165" s="164">
        <f t="shared" si="76"/>
        <v>0</v>
      </c>
      <c r="P165" s="164">
        <f t="shared" si="76"/>
        <v>0</v>
      </c>
      <c r="Q165" s="164">
        <f t="shared" si="76"/>
        <v>0</v>
      </c>
      <c r="R165" s="164">
        <f t="shared" si="76"/>
        <v>0</v>
      </c>
      <c r="S165" s="164">
        <f t="shared" si="76"/>
        <v>0</v>
      </c>
      <c r="T165" s="164">
        <f t="shared" si="76"/>
        <v>0</v>
      </c>
      <c r="U165" s="164">
        <f t="shared" si="76"/>
        <v>0</v>
      </c>
      <c r="V165" s="164">
        <f t="shared" si="76"/>
        <v>0</v>
      </c>
      <c r="W165" s="164">
        <f t="shared" si="76"/>
        <v>0</v>
      </c>
      <c r="X165" s="164">
        <f t="shared" si="76"/>
        <v>0</v>
      </c>
      <c r="Y165" s="164">
        <f t="shared" si="76"/>
        <v>0</v>
      </c>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97"/>
      <c r="BA165" s="197"/>
      <c r="BB165" s="197"/>
      <c r="BC165" s="197"/>
      <c r="BD165" s="197"/>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118"/>
      <c r="CE165" s="118"/>
    </row>
    <row r="166" spans="1:83" s="38" customFormat="1" ht="14" hidden="1" x14ac:dyDescent="0.3">
      <c r="A166" s="37"/>
      <c r="B166" s="37"/>
      <c r="C166" s="41" t="s">
        <v>125</v>
      </c>
      <c r="D166" s="145" t="str">
        <f t="shared" si="68"/>
        <v>Ambitieux</v>
      </c>
      <c r="E166" s="164">
        <v>0</v>
      </c>
      <c r="F166" s="164">
        <f t="shared" ref="F166:Y166" si="77">IF($I15="",0,$I15)</f>
        <v>0</v>
      </c>
      <c r="G166" s="164">
        <f t="shared" si="77"/>
        <v>0</v>
      </c>
      <c r="H166" s="164">
        <f t="shared" si="77"/>
        <v>0</v>
      </c>
      <c r="I166" s="164">
        <f t="shared" si="77"/>
        <v>0</v>
      </c>
      <c r="J166" s="164">
        <f t="shared" si="77"/>
        <v>0</v>
      </c>
      <c r="K166" s="164">
        <f t="shared" si="77"/>
        <v>0</v>
      </c>
      <c r="L166" s="164">
        <f t="shared" si="77"/>
        <v>0</v>
      </c>
      <c r="M166" s="164">
        <f t="shared" si="77"/>
        <v>0</v>
      </c>
      <c r="N166" s="164">
        <f t="shared" si="77"/>
        <v>0</v>
      </c>
      <c r="O166" s="164">
        <f t="shared" si="77"/>
        <v>0</v>
      </c>
      <c r="P166" s="164">
        <f t="shared" si="77"/>
        <v>0</v>
      </c>
      <c r="Q166" s="164">
        <f t="shared" si="77"/>
        <v>0</v>
      </c>
      <c r="R166" s="164">
        <f t="shared" si="77"/>
        <v>0</v>
      </c>
      <c r="S166" s="164">
        <f t="shared" si="77"/>
        <v>0</v>
      </c>
      <c r="T166" s="164">
        <f t="shared" si="77"/>
        <v>0</v>
      </c>
      <c r="U166" s="164">
        <f t="shared" si="77"/>
        <v>0</v>
      </c>
      <c r="V166" s="164">
        <f t="shared" si="77"/>
        <v>0</v>
      </c>
      <c r="W166" s="164">
        <f t="shared" si="77"/>
        <v>0</v>
      </c>
      <c r="X166" s="164">
        <f t="shared" si="77"/>
        <v>0</v>
      </c>
      <c r="Y166" s="164">
        <f t="shared" si="77"/>
        <v>0</v>
      </c>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97"/>
      <c r="BA166" s="197"/>
      <c r="BB166" s="197"/>
      <c r="BC166" s="197"/>
      <c r="BD166" s="197"/>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118"/>
      <c r="CE166" s="118"/>
    </row>
    <row r="167" spans="1:83" s="38" customFormat="1" ht="14" hidden="1" x14ac:dyDescent="0.3">
      <c r="A167" s="37"/>
      <c r="B167" s="37"/>
      <c r="C167" s="41" t="s">
        <v>126</v>
      </c>
      <c r="D167" s="145" t="str">
        <f t="shared" si="68"/>
        <v>Prioritaire</v>
      </c>
      <c r="E167" s="164">
        <v>0</v>
      </c>
      <c r="F167" s="164">
        <f t="shared" ref="F167:Y167" si="78">IF($I16="",0,$I16)</f>
        <v>-500</v>
      </c>
      <c r="G167" s="164">
        <f t="shared" si="78"/>
        <v>-500</v>
      </c>
      <c r="H167" s="164">
        <f t="shared" si="78"/>
        <v>-500</v>
      </c>
      <c r="I167" s="164">
        <f t="shared" si="78"/>
        <v>-500</v>
      </c>
      <c r="J167" s="164">
        <f t="shared" si="78"/>
        <v>-500</v>
      </c>
      <c r="K167" s="164">
        <f t="shared" si="78"/>
        <v>-500</v>
      </c>
      <c r="L167" s="164">
        <f t="shared" si="78"/>
        <v>-500</v>
      </c>
      <c r="M167" s="164">
        <f t="shared" si="78"/>
        <v>-500</v>
      </c>
      <c r="N167" s="164">
        <f t="shared" si="78"/>
        <v>-500</v>
      </c>
      <c r="O167" s="164">
        <f t="shared" si="78"/>
        <v>-500</v>
      </c>
      <c r="P167" s="164">
        <f t="shared" si="78"/>
        <v>-500</v>
      </c>
      <c r="Q167" s="164">
        <f t="shared" si="78"/>
        <v>-500</v>
      </c>
      <c r="R167" s="164">
        <f t="shared" si="78"/>
        <v>-500</v>
      </c>
      <c r="S167" s="164">
        <f t="shared" si="78"/>
        <v>-500</v>
      </c>
      <c r="T167" s="164">
        <f t="shared" si="78"/>
        <v>-500</v>
      </c>
      <c r="U167" s="164">
        <f t="shared" si="78"/>
        <v>-500</v>
      </c>
      <c r="V167" s="164">
        <f t="shared" si="78"/>
        <v>-500</v>
      </c>
      <c r="W167" s="164">
        <f t="shared" si="78"/>
        <v>-500</v>
      </c>
      <c r="X167" s="164">
        <f t="shared" si="78"/>
        <v>-500</v>
      </c>
      <c r="Y167" s="164">
        <f t="shared" si="78"/>
        <v>-500</v>
      </c>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97"/>
      <c r="BA167" s="197"/>
      <c r="BB167" s="197"/>
      <c r="BC167" s="197"/>
      <c r="BD167" s="197"/>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118"/>
      <c r="CE167" s="118"/>
    </row>
    <row r="168" spans="1:83" s="38" customFormat="1" ht="14" hidden="1" x14ac:dyDescent="0.3">
      <c r="A168" s="37"/>
      <c r="B168" s="37"/>
      <c r="C168" s="41" t="s">
        <v>284</v>
      </c>
      <c r="D168" s="145" t="str">
        <f t="shared" si="68"/>
        <v>Très ambitieux</v>
      </c>
      <c r="E168" s="164">
        <v>0</v>
      </c>
      <c r="F168" s="164">
        <f t="shared" ref="F168:Y168" si="79">IF($I17="",0,$I17)</f>
        <v>0</v>
      </c>
      <c r="G168" s="164">
        <f t="shared" si="79"/>
        <v>0</v>
      </c>
      <c r="H168" s="164">
        <f t="shared" si="79"/>
        <v>0</v>
      </c>
      <c r="I168" s="164">
        <f t="shared" si="79"/>
        <v>0</v>
      </c>
      <c r="J168" s="164">
        <f t="shared" si="79"/>
        <v>0</v>
      </c>
      <c r="K168" s="164">
        <f t="shared" si="79"/>
        <v>0</v>
      </c>
      <c r="L168" s="164">
        <f t="shared" si="79"/>
        <v>0</v>
      </c>
      <c r="M168" s="164">
        <f t="shared" si="79"/>
        <v>0</v>
      </c>
      <c r="N168" s="164">
        <f t="shared" si="79"/>
        <v>0</v>
      </c>
      <c r="O168" s="164">
        <f t="shared" si="79"/>
        <v>0</v>
      </c>
      <c r="P168" s="164">
        <f t="shared" si="79"/>
        <v>0</v>
      </c>
      <c r="Q168" s="164">
        <f t="shared" si="79"/>
        <v>0</v>
      </c>
      <c r="R168" s="164">
        <f t="shared" si="79"/>
        <v>0</v>
      </c>
      <c r="S168" s="164">
        <f t="shared" si="79"/>
        <v>0</v>
      </c>
      <c r="T168" s="164">
        <f t="shared" si="79"/>
        <v>0</v>
      </c>
      <c r="U168" s="164">
        <f t="shared" si="79"/>
        <v>0</v>
      </c>
      <c r="V168" s="164">
        <f t="shared" si="79"/>
        <v>0</v>
      </c>
      <c r="W168" s="164">
        <f t="shared" si="79"/>
        <v>0</v>
      </c>
      <c r="X168" s="164">
        <f t="shared" si="79"/>
        <v>0</v>
      </c>
      <c r="Y168" s="164">
        <f t="shared" si="79"/>
        <v>0</v>
      </c>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97"/>
      <c r="BA168" s="197"/>
      <c r="BB168" s="197"/>
      <c r="BC168" s="197"/>
      <c r="BD168" s="197"/>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118"/>
      <c r="CE168" s="118"/>
    </row>
    <row r="169" spans="1:83" s="38" customFormat="1" ht="14" hidden="1" x14ac:dyDescent="0.3">
      <c r="A169" s="37"/>
      <c r="B169" s="37"/>
      <c r="C169" s="41" t="s">
        <v>285</v>
      </c>
      <c r="D169" s="145" t="str">
        <f t="shared" si="68"/>
        <v>Très ambitieux</v>
      </c>
      <c r="E169" s="164">
        <v>0</v>
      </c>
      <c r="F169" s="164">
        <f t="shared" ref="F169:Y169" si="80">IF($I18="",0,$I18)</f>
        <v>0</v>
      </c>
      <c r="G169" s="164">
        <f t="shared" si="80"/>
        <v>0</v>
      </c>
      <c r="H169" s="164">
        <f t="shared" si="80"/>
        <v>0</v>
      </c>
      <c r="I169" s="164">
        <f t="shared" si="80"/>
        <v>0</v>
      </c>
      <c r="J169" s="164">
        <f t="shared" si="80"/>
        <v>0</v>
      </c>
      <c r="K169" s="164">
        <f t="shared" si="80"/>
        <v>0</v>
      </c>
      <c r="L169" s="164">
        <f t="shared" si="80"/>
        <v>0</v>
      </c>
      <c r="M169" s="164">
        <f t="shared" si="80"/>
        <v>0</v>
      </c>
      <c r="N169" s="164">
        <f t="shared" si="80"/>
        <v>0</v>
      </c>
      <c r="O169" s="164">
        <f t="shared" si="80"/>
        <v>0</v>
      </c>
      <c r="P169" s="164">
        <f t="shared" si="80"/>
        <v>0</v>
      </c>
      <c r="Q169" s="164">
        <f t="shared" si="80"/>
        <v>0</v>
      </c>
      <c r="R169" s="164">
        <f t="shared" si="80"/>
        <v>0</v>
      </c>
      <c r="S169" s="164">
        <f t="shared" si="80"/>
        <v>0</v>
      </c>
      <c r="T169" s="164">
        <f t="shared" si="80"/>
        <v>0</v>
      </c>
      <c r="U169" s="164">
        <f t="shared" si="80"/>
        <v>0</v>
      </c>
      <c r="V169" s="164">
        <f t="shared" si="80"/>
        <v>0</v>
      </c>
      <c r="W169" s="164">
        <f t="shared" si="80"/>
        <v>0</v>
      </c>
      <c r="X169" s="164">
        <f t="shared" si="80"/>
        <v>0</v>
      </c>
      <c r="Y169" s="164">
        <f t="shared" si="80"/>
        <v>0</v>
      </c>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97"/>
      <c r="BA169" s="197"/>
      <c r="BB169" s="197"/>
      <c r="BC169" s="197"/>
      <c r="BD169" s="197"/>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118"/>
      <c r="CE169" s="118"/>
    </row>
    <row r="170" spans="1:83" s="38" customFormat="1" ht="14" hidden="1" x14ac:dyDescent="0.3">
      <c r="A170" s="37"/>
      <c r="B170" s="37"/>
      <c r="C170" s="41" t="s">
        <v>286</v>
      </c>
      <c r="D170" s="145" t="str">
        <f t="shared" si="68"/>
        <v>Non priorisé</v>
      </c>
      <c r="E170" s="164">
        <v>0</v>
      </c>
      <c r="F170" s="164">
        <f t="shared" ref="F170:Y170" si="81">IF($I19="",0,$I19)</f>
        <v>0</v>
      </c>
      <c r="G170" s="164">
        <f t="shared" si="81"/>
        <v>0</v>
      </c>
      <c r="H170" s="164">
        <f t="shared" si="81"/>
        <v>0</v>
      </c>
      <c r="I170" s="164">
        <f t="shared" si="81"/>
        <v>0</v>
      </c>
      <c r="J170" s="164">
        <f t="shared" si="81"/>
        <v>0</v>
      </c>
      <c r="K170" s="164">
        <f t="shared" si="81"/>
        <v>0</v>
      </c>
      <c r="L170" s="164">
        <f t="shared" si="81"/>
        <v>0</v>
      </c>
      <c r="M170" s="164">
        <f t="shared" si="81"/>
        <v>0</v>
      </c>
      <c r="N170" s="164">
        <f t="shared" si="81"/>
        <v>0</v>
      </c>
      <c r="O170" s="164">
        <f t="shared" si="81"/>
        <v>0</v>
      </c>
      <c r="P170" s="164">
        <f t="shared" si="81"/>
        <v>0</v>
      </c>
      <c r="Q170" s="164">
        <f t="shared" si="81"/>
        <v>0</v>
      </c>
      <c r="R170" s="164">
        <f t="shared" si="81"/>
        <v>0</v>
      </c>
      <c r="S170" s="164">
        <f t="shared" si="81"/>
        <v>0</v>
      </c>
      <c r="T170" s="164">
        <f t="shared" si="81"/>
        <v>0</v>
      </c>
      <c r="U170" s="164">
        <f t="shared" si="81"/>
        <v>0</v>
      </c>
      <c r="V170" s="164">
        <f t="shared" si="81"/>
        <v>0</v>
      </c>
      <c r="W170" s="164">
        <f t="shared" si="81"/>
        <v>0</v>
      </c>
      <c r="X170" s="164">
        <f t="shared" si="81"/>
        <v>0</v>
      </c>
      <c r="Y170" s="164">
        <f t="shared" si="81"/>
        <v>0</v>
      </c>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97"/>
      <c r="BA170" s="197"/>
      <c r="BB170" s="197"/>
      <c r="BC170" s="197"/>
      <c r="BD170" s="197"/>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118"/>
      <c r="CE170" s="118"/>
    </row>
    <row r="171" spans="1:83" s="38" customFormat="1" ht="14" hidden="1" x14ac:dyDescent="0.3">
      <c r="A171" s="37"/>
      <c r="B171" s="37"/>
      <c r="C171" s="41" t="s">
        <v>287</v>
      </c>
      <c r="D171" s="145">
        <f t="shared" si="68"/>
        <v>0</v>
      </c>
      <c r="E171" s="164">
        <v>0</v>
      </c>
      <c r="F171" s="164">
        <f t="shared" ref="F171:Y171" si="82">IF($I20="",0,$I20)</f>
        <v>0</v>
      </c>
      <c r="G171" s="164">
        <f t="shared" si="82"/>
        <v>0</v>
      </c>
      <c r="H171" s="164">
        <f t="shared" si="82"/>
        <v>0</v>
      </c>
      <c r="I171" s="164">
        <f t="shared" si="82"/>
        <v>0</v>
      </c>
      <c r="J171" s="164">
        <f t="shared" si="82"/>
        <v>0</v>
      </c>
      <c r="K171" s="164">
        <f t="shared" si="82"/>
        <v>0</v>
      </c>
      <c r="L171" s="164">
        <f t="shared" si="82"/>
        <v>0</v>
      </c>
      <c r="M171" s="164">
        <f t="shared" si="82"/>
        <v>0</v>
      </c>
      <c r="N171" s="164">
        <f t="shared" si="82"/>
        <v>0</v>
      </c>
      <c r="O171" s="164">
        <f t="shared" si="82"/>
        <v>0</v>
      </c>
      <c r="P171" s="164">
        <f t="shared" si="82"/>
        <v>0</v>
      </c>
      <c r="Q171" s="164">
        <f t="shared" si="82"/>
        <v>0</v>
      </c>
      <c r="R171" s="164">
        <f t="shared" si="82"/>
        <v>0</v>
      </c>
      <c r="S171" s="164">
        <f t="shared" si="82"/>
        <v>0</v>
      </c>
      <c r="T171" s="164">
        <f t="shared" si="82"/>
        <v>0</v>
      </c>
      <c r="U171" s="164">
        <f t="shared" si="82"/>
        <v>0</v>
      </c>
      <c r="V171" s="164">
        <f t="shared" si="82"/>
        <v>0</v>
      </c>
      <c r="W171" s="164">
        <f t="shared" si="82"/>
        <v>0</v>
      </c>
      <c r="X171" s="164">
        <f t="shared" si="82"/>
        <v>0</v>
      </c>
      <c r="Y171" s="164">
        <f t="shared" si="82"/>
        <v>0</v>
      </c>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97"/>
      <c r="BA171" s="197"/>
      <c r="BB171" s="197"/>
      <c r="BC171" s="197"/>
      <c r="BD171" s="197"/>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118"/>
      <c r="CE171" s="118"/>
    </row>
    <row r="172" spans="1:83" s="38" customFormat="1" ht="14" hidden="1" x14ac:dyDescent="0.3">
      <c r="A172" s="37"/>
      <c r="B172" s="37"/>
      <c r="C172" s="41" t="s">
        <v>288</v>
      </c>
      <c r="D172" s="145">
        <f t="shared" si="68"/>
        <v>0</v>
      </c>
      <c r="E172" s="164">
        <v>0</v>
      </c>
      <c r="F172" s="164">
        <f t="shared" ref="F172:Y172" si="83">IF($I21="",0,$I21)</f>
        <v>0</v>
      </c>
      <c r="G172" s="164">
        <f t="shared" si="83"/>
        <v>0</v>
      </c>
      <c r="H172" s="164">
        <f t="shared" si="83"/>
        <v>0</v>
      </c>
      <c r="I172" s="164">
        <f t="shared" si="83"/>
        <v>0</v>
      </c>
      <c r="J172" s="164">
        <f t="shared" si="83"/>
        <v>0</v>
      </c>
      <c r="K172" s="164">
        <f t="shared" si="83"/>
        <v>0</v>
      </c>
      <c r="L172" s="164">
        <f t="shared" si="83"/>
        <v>0</v>
      </c>
      <c r="M172" s="164">
        <f t="shared" si="83"/>
        <v>0</v>
      </c>
      <c r="N172" s="164">
        <f t="shared" si="83"/>
        <v>0</v>
      </c>
      <c r="O172" s="164">
        <f t="shared" si="83"/>
        <v>0</v>
      </c>
      <c r="P172" s="164">
        <f t="shared" si="83"/>
        <v>0</v>
      </c>
      <c r="Q172" s="164">
        <f t="shared" si="83"/>
        <v>0</v>
      </c>
      <c r="R172" s="164">
        <f t="shared" si="83"/>
        <v>0</v>
      </c>
      <c r="S172" s="164">
        <f t="shared" si="83"/>
        <v>0</v>
      </c>
      <c r="T172" s="164">
        <f t="shared" si="83"/>
        <v>0</v>
      </c>
      <c r="U172" s="164">
        <f t="shared" si="83"/>
        <v>0</v>
      </c>
      <c r="V172" s="164">
        <f t="shared" si="83"/>
        <v>0</v>
      </c>
      <c r="W172" s="164">
        <f t="shared" si="83"/>
        <v>0</v>
      </c>
      <c r="X172" s="164">
        <f t="shared" si="83"/>
        <v>0</v>
      </c>
      <c r="Y172" s="164">
        <f t="shared" si="83"/>
        <v>0</v>
      </c>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97"/>
      <c r="BA172" s="197"/>
      <c r="BB172" s="197"/>
      <c r="BC172" s="197"/>
      <c r="BD172" s="197"/>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118"/>
      <c r="CE172" s="118"/>
    </row>
    <row r="173" spans="1:83" s="38" customFormat="1" ht="14" hidden="1" x14ac:dyDescent="0.3">
      <c r="A173" s="37"/>
      <c r="B173" s="37"/>
      <c r="C173" s="41" t="s">
        <v>289</v>
      </c>
      <c r="D173" s="145">
        <f t="shared" si="68"/>
        <v>0</v>
      </c>
      <c r="E173" s="164">
        <v>0</v>
      </c>
      <c r="F173" s="164">
        <f t="shared" ref="F173:Y173" si="84">IF($I22="",0,$I22)</f>
        <v>0</v>
      </c>
      <c r="G173" s="164">
        <f t="shared" si="84"/>
        <v>0</v>
      </c>
      <c r="H173" s="164">
        <f t="shared" si="84"/>
        <v>0</v>
      </c>
      <c r="I173" s="164">
        <f t="shared" si="84"/>
        <v>0</v>
      </c>
      <c r="J173" s="164">
        <f t="shared" si="84"/>
        <v>0</v>
      </c>
      <c r="K173" s="164">
        <f t="shared" si="84"/>
        <v>0</v>
      </c>
      <c r="L173" s="164">
        <f t="shared" si="84"/>
        <v>0</v>
      </c>
      <c r="M173" s="164">
        <f t="shared" si="84"/>
        <v>0</v>
      </c>
      <c r="N173" s="164">
        <f t="shared" si="84"/>
        <v>0</v>
      </c>
      <c r="O173" s="164">
        <f t="shared" si="84"/>
        <v>0</v>
      </c>
      <c r="P173" s="164">
        <f t="shared" si="84"/>
        <v>0</v>
      </c>
      <c r="Q173" s="164">
        <f t="shared" si="84"/>
        <v>0</v>
      </c>
      <c r="R173" s="164">
        <f t="shared" si="84"/>
        <v>0</v>
      </c>
      <c r="S173" s="164">
        <f t="shared" si="84"/>
        <v>0</v>
      </c>
      <c r="T173" s="164">
        <f t="shared" si="84"/>
        <v>0</v>
      </c>
      <c r="U173" s="164">
        <f t="shared" si="84"/>
        <v>0</v>
      </c>
      <c r="V173" s="164">
        <f t="shared" si="84"/>
        <v>0</v>
      </c>
      <c r="W173" s="164">
        <f t="shared" si="84"/>
        <v>0</v>
      </c>
      <c r="X173" s="164">
        <f t="shared" si="84"/>
        <v>0</v>
      </c>
      <c r="Y173" s="164">
        <f t="shared" si="84"/>
        <v>0</v>
      </c>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97"/>
      <c r="BA173" s="197"/>
      <c r="BB173" s="197"/>
      <c r="BC173" s="197"/>
      <c r="BD173" s="197"/>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118"/>
      <c r="CE173" s="118"/>
    </row>
    <row r="174" spans="1:83" s="38" customFormat="1" ht="14" hidden="1" x14ac:dyDescent="0.3">
      <c r="A174" s="37"/>
      <c r="B174" s="37"/>
      <c r="C174" s="41" t="s">
        <v>290</v>
      </c>
      <c r="D174" s="145">
        <f t="shared" si="68"/>
        <v>0</v>
      </c>
      <c r="E174" s="164">
        <v>0</v>
      </c>
      <c r="F174" s="164">
        <f t="shared" ref="F174:Y174" si="85">IF($I23="",0,$I23)</f>
        <v>0</v>
      </c>
      <c r="G174" s="164">
        <f t="shared" si="85"/>
        <v>0</v>
      </c>
      <c r="H174" s="164">
        <f t="shared" si="85"/>
        <v>0</v>
      </c>
      <c r="I174" s="164">
        <f t="shared" si="85"/>
        <v>0</v>
      </c>
      <c r="J174" s="164">
        <f t="shared" si="85"/>
        <v>0</v>
      </c>
      <c r="K174" s="164">
        <f t="shared" si="85"/>
        <v>0</v>
      </c>
      <c r="L174" s="164">
        <f t="shared" si="85"/>
        <v>0</v>
      </c>
      <c r="M174" s="164">
        <f t="shared" si="85"/>
        <v>0</v>
      </c>
      <c r="N174" s="164">
        <f t="shared" si="85"/>
        <v>0</v>
      </c>
      <c r="O174" s="164">
        <f t="shared" si="85"/>
        <v>0</v>
      </c>
      <c r="P174" s="164">
        <f t="shared" si="85"/>
        <v>0</v>
      </c>
      <c r="Q174" s="164">
        <f t="shared" si="85"/>
        <v>0</v>
      </c>
      <c r="R174" s="164">
        <f t="shared" si="85"/>
        <v>0</v>
      </c>
      <c r="S174" s="164">
        <f t="shared" si="85"/>
        <v>0</v>
      </c>
      <c r="T174" s="164">
        <f t="shared" si="85"/>
        <v>0</v>
      </c>
      <c r="U174" s="164">
        <f t="shared" si="85"/>
        <v>0</v>
      </c>
      <c r="V174" s="164">
        <f t="shared" si="85"/>
        <v>0</v>
      </c>
      <c r="W174" s="164">
        <f t="shared" si="85"/>
        <v>0</v>
      </c>
      <c r="X174" s="164">
        <f t="shared" si="85"/>
        <v>0</v>
      </c>
      <c r="Y174" s="164">
        <f t="shared" si="85"/>
        <v>0</v>
      </c>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97"/>
      <c r="BA174" s="197"/>
      <c r="BB174" s="197"/>
      <c r="BC174" s="197"/>
      <c r="BD174" s="197"/>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118"/>
      <c r="CE174" s="118"/>
    </row>
    <row r="175" spans="1:83" s="38" customFormat="1" ht="14" hidden="1" x14ac:dyDescent="0.3">
      <c r="A175" s="37"/>
      <c r="B175" s="37"/>
      <c r="C175" s="41" t="s">
        <v>291</v>
      </c>
      <c r="D175" s="145">
        <f t="shared" si="68"/>
        <v>0</v>
      </c>
      <c r="E175" s="164">
        <v>0</v>
      </c>
      <c r="F175" s="164">
        <f t="shared" ref="F175:Y175" si="86">IF($I24="",0,$I24)</f>
        <v>0</v>
      </c>
      <c r="G175" s="164">
        <f t="shared" si="86"/>
        <v>0</v>
      </c>
      <c r="H175" s="164">
        <f t="shared" si="86"/>
        <v>0</v>
      </c>
      <c r="I175" s="164">
        <f t="shared" si="86"/>
        <v>0</v>
      </c>
      <c r="J175" s="164">
        <f t="shared" si="86"/>
        <v>0</v>
      </c>
      <c r="K175" s="164">
        <f t="shared" si="86"/>
        <v>0</v>
      </c>
      <c r="L175" s="164">
        <f t="shared" si="86"/>
        <v>0</v>
      </c>
      <c r="M175" s="164">
        <f t="shared" si="86"/>
        <v>0</v>
      </c>
      <c r="N175" s="164">
        <f t="shared" si="86"/>
        <v>0</v>
      </c>
      <c r="O175" s="164">
        <f t="shared" si="86"/>
        <v>0</v>
      </c>
      <c r="P175" s="164">
        <f t="shared" si="86"/>
        <v>0</v>
      </c>
      <c r="Q175" s="164">
        <f t="shared" si="86"/>
        <v>0</v>
      </c>
      <c r="R175" s="164">
        <f t="shared" si="86"/>
        <v>0</v>
      </c>
      <c r="S175" s="164">
        <f t="shared" si="86"/>
        <v>0</v>
      </c>
      <c r="T175" s="164">
        <f t="shared" si="86"/>
        <v>0</v>
      </c>
      <c r="U175" s="164">
        <f t="shared" si="86"/>
        <v>0</v>
      </c>
      <c r="V175" s="164">
        <f t="shared" si="86"/>
        <v>0</v>
      </c>
      <c r="W175" s="164">
        <f t="shared" si="86"/>
        <v>0</v>
      </c>
      <c r="X175" s="164">
        <f t="shared" si="86"/>
        <v>0</v>
      </c>
      <c r="Y175" s="164">
        <f t="shared" si="86"/>
        <v>0</v>
      </c>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97"/>
      <c r="BA175" s="197"/>
      <c r="BB175" s="197"/>
      <c r="BC175" s="197"/>
      <c r="BD175" s="197"/>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118"/>
      <c r="CE175" s="118"/>
    </row>
    <row r="176" spans="1:83" s="38" customFormat="1" ht="14" hidden="1" x14ac:dyDescent="0.3">
      <c r="A176" s="37"/>
      <c r="B176" s="37"/>
      <c r="C176" s="41" t="s">
        <v>292</v>
      </c>
      <c r="D176" s="145">
        <f t="shared" si="68"/>
        <v>0</v>
      </c>
      <c r="E176" s="164">
        <v>0</v>
      </c>
      <c r="F176" s="164">
        <f t="shared" ref="F176:Y176" si="87">IF($I25="",0,$I25)</f>
        <v>0</v>
      </c>
      <c r="G176" s="164">
        <f t="shared" si="87"/>
        <v>0</v>
      </c>
      <c r="H176" s="164">
        <f t="shared" si="87"/>
        <v>0</v>
      </c>
      <c r="I176" s="164">
        <f t="shared" si="87"/>
        <v>0</v>
      </c>
      <c r="J176" s="164">
        <f t="shared" si="87"/>
        <v>0</v>
      </c>
      <c r="K176" s="164">
        <f t="shared" si="87"/>
        <v>0</v>
      </c>
      <c r="L176" s="164">
        <f t="shared" si="87"/>
        <v>0</v>
      </c>
      <c r="M176" s="164">
        <f t="shared" si="87"/>
        <v>0</v>
      </c>
      <c r="N176" s="164">
        <f t="shared" si="87"/>
        <v>0</v>
      </c>
      <c r="O176" s="164">
        <f t="shared" si="87"/>
        <v>0</v>
      </c>
      <c r="P176" s="164">
        <f t="shared" si="87"/>
        <v>0</v>
      </c>
      <c r="Q176" s="164">
        <f t="shared" si="87"/>
        <v>0</v>
      </c>
      <c r="R176" s="164">
        <f t="shared" si="87"/>
        <v>0</v>
      </c>
      <c r="S176" s="164">
        <f t="shared" si="87"/>
        <v>0</v>
      </c>
      <c r="T176" s="164">
        <f t="shared" si="87"/>
        <v>0</v>
      </c>
      <c r="U176" s="164">
        <f t="shared" si="87"/>
        <v>0</v>
      </c>
      <c r="V176" s="164">
        <f t="shared" si="87"/>
        <v>0</v>
      </c>
      <c r="W176" s="164">
        <f t="shared" si="87"/>
        <v>0</v>
      </c>
      <c r="X176" s="164">
        <f t="shared" si="87"/>
        <v>0</v>
      </c>
      <c r="Y176" s="164">
        <f t="shared" si="87"/>
        <v>0</v>
      </c>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97"/>
      <c r="BA176" s="197"/>
      <c r="BB176" s="197"/>
      <c r="BC176" s="197"/>
      <c r="BD176" s="197"/>
      <c r="BE176" s="60"/>
      <c r="BF176" s="60"/>
      <c r="BG176" s="60"/>
      <c r="BH176" s="60"/>
      <c r="BI176" s="60"/>
      <c r="BJ176" s="60"/>
      <c r="BK176" s="60"/>
      <c r="BL176" s="60"/>
      <c r="BM176" s="60"/>
      <c r="BN176" s="60"/>
      <c r="BO176" s="60"/>
      <c r="BP176" s="60"/>
      <c r="BQ176" s="60"/>
      <c r="BR176" s="60"/>
      <c r="BS176" s="60"/>
      <c r="BT176" s="60"/>
      <c r="BU176" s="60"/>
      <c r="BV176" s="60"/>
      <c r="BW176" s="60"/>
      <c r="BX176" s="60"/>
      <c r="BY176" s="60"/>
      <c r="BZ176" s="60"/>
      <c r="CA176" s="60"/>
      <c r="CB176" s="60"/>
      <c r="CC176" s="60"/>
      <c r="CD176" s="118"/>
      <c r="CE176" s="118"/>
    </row>
    <row r="177" spans="1:83" s="38" customFormat="1" ht="14" hidden="1" x14ac:dyDescent="0.3">
      <c r="A177" s="37"/>
      <c r="B177" s="37"/>
      <c r="C177" s="41" t="s">
        <v>293</v>
      </c>
      <c r="D177" s="145">
        <f t="shared" si="68"/>
        <v>0</v>
      </c>
      <c r="E177" s="164">
        <v>0</v>
      </c>
      <c r="F177" s="164">
        <f t="shared" ref="F177:Y177" si="88">IF($I26="",0,$I26)</f>
        <v>0</v>
      </c>
      <c r="G177" s="164">
        <f t="shared" si="88"/>
        <v>0</v>
      </c>
      <c r="H177" s="164">
        <f t="shared" si="88"/>
        <v>0</v>
      </c>
      <c r="I177" s="164">
        <f t="shared" si="88"/>
        <v>0</v>
      </c>
      <c r="J177" s="164">
        <f t="shared" si="88"/>
        <v>0</v>
      </c>
      <c r="K177" s="164">
        <f t="shared" si="88"/>
        <v>0</v>
      </c>
      <c r="L177" s="164">
        <f t="shared" si="88"/>
        <v>0</v>
      </c>
      <c r="M177" s="164">
        <f t="shared" si="88"/>
        <v>0</v>
      </c>
      <c r="N177" s="164">
        <f t="shared" si="88"/>
        <v>0</v>
      </c>
      <c r="O177" s="164">
        <f t="shared" si="88"/>
        <v>0</v>
      </c>
      <c r="P177" s="164">
        <f t="shared" si="88"/>
        <v>0</v>
      </c>
      <c r="Q177" s="164">
        <f t="shared" si="88"/>
        <v>0</v>
      </c>
      <c r="R177" s="164">
        <f t="shared" si="88"/>
        <v>0</v>
      </c>
      <c r="S177" s="164">
        <f t="shared" si="88"/>
        <v>0</v>
      </c>
      <c r="T177" s="164">
        <f t="shared" si="88"/>
        <v>0</v>
      </c>
      <c r="U177" s="164">
        <f t="shared" si="88"/>
        <v>0</v>
      </c>
      <c r="V177" s="164">
        <f t="shared" si="88"/>
        <v>0</v>
      </c>
      <c r="W177" s="164">
        <f t="shared" si="88"/>
        <v>0</v>
      </c>
      <c r="X177" s="164">
        <f t="shared" si="88"/>
        <v>0</v>
      </c>
      <c r="Y177" s="164">
        <f t="shared" si="88"/>
        <v>0</v>
      </c>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97"/>
      <c r="BA177" s="197"/>
      <c r="BB177" s="197"/>
      <c r="BC177" s="197"/>
      <c r="BD177" s="197"/>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118"/>
      <c r="CE177" s="118"/>
    </row>
    <row r="178" spans="1:83" s="141" customFormat="1" ht="14" hidden="1" x14ac:dyDescent="0.3">
      <c r="A178" s="37"/>
      <c r="B178" s="37"/>
      <c r="C178" s="143" t="s">
        <v>108</v>
      </c>
      <c r="D178" s="143" t="s">
        <v>108</v>
      </c>
      <c r="E178" s="166">
        <f t="shared" ref="E178:U178" si="89">SUM(E158:E177)</f>
        <v>0</v>
      </c>
      <c r="F178" s="166">
        <f t="shared" si="89"/>
        <v>-4000</v>
      </c>
      <c r="G178" s="166">
        <f t="shared" si="89"/>
        <v>-4000</v>
      </c>
      <c r="H178" s="166">
        <f t="shared" si="89"/>
        <v>-4000</v>
      </c>
      <c r="I178" s="166">
        <f t="shared" si="89"/>
        <v>-4000</v>
      </c>
      <c r="J178" s="166">
        <f t="shared" si="89"/>
        <v>-4000</v>
      </c>
      <c r="K178" s="166">
        <f t="shared" si="89"/>
        <v>-4000</v>
      </c>
      <c r="L178" s="166">
        <f t="shared" si="89"/>
        <v>-4000</v>
      </c>
      <c r="M178" s="166">
        <f t="shared" si="89"/>
        <v>-4000</v>
      </c>
      <c r="N178" s="166">
        <f t="shared" si="89"/>
        <v>-4000</v>
      </c>
      <c r="O178" s="166">
        <f t="shared" si="89"/>
        <v>-4000</v>
      </c>
      <c r="P178" s="166">
        <f t="shared" si="89"/>
        <v>-4000</v>
      </c>
      <c r="Q178" s="166">
        <f t="shared" si="89"/>
        <v>-4000</v>
      </c>
      <c r="R178" s="166">
        <f t="shared" si="89"/>
        <v>-4000</v>
      </c>
      <c r="S178" s="166">
        <f t="shared" si="89"/>
        <v>-4000</v>
      </c>
      <c r="T178" s="166">
        <f t="shared" si="89"/>
        <v>-4000</v>
      </c>
      <c r="U178" s="166">
        <f t="shared" si="89"/>
        <v>-4000</v>
      </c>
      <c r="V178" s="166">
        <f>SUM(V158:V177)</f>
        <v>-4000</v>
      </c>
      <c r="W178" s="166">
        <f>SUM(W158:W177)</f>
        <v>-4000</v>
      </c>
      <c r="X178" s="166">
        <f>SUM(X158:X177)</f>
        <v>-4000</v>
      </c>
      <c r="Y178" s="166">
        <f>SUM(Y158:Y177)</f>
        <v>-4000</v>
      </c>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7"/>
      <c r="BA178" s="237"/>
      <c r="BB178" s="237"/>
      <c r="BC178" s="237"/>
      <c r="BD178" s="237"/>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236"/>
      <c r="CE178" s="236"/>
    </row>
    <row r="179" spans="1:83" s="38" customFormat="1" ht="14" hidden="1" x14ac:dyDescent="0.3">
      <c r="A179" s="37"/>
      <c r="B179" s="37"/>
      <c r="C179" s="142" t="s">
        <v>281</v>
      </c>
      <c r="D179" s="144" t="s">
        <v>281</v>
      </c>
      <c r="E179" s="166">
        <f t="shared" ref="E179:N182" si="90">SUMPRODUCT(($D$158:$D$177=$C179)*E$158:E$177)</f>
        <v>0</v>
      </c>
      <c r="F179" s="166">
        <f t="shared" si="90"/>
        <v>-5000</v>
      </c>
      <c r="G179" s="166">
        <f t="shared" si="90"/>
        <v>-5000</v>
      </c>
      <c r="H179" s="166">
        <f t="shared" si="90"/>
        <v>-5000</v>
      </c>
      <c r="I179" s="166">
        <f t="shared" si="90"/>
        <v>-5000</v>
      </c>
      <c r="J179" s="166">
        <f t="shared" si="90"/>
        <v>-5000</v>
      </c>
      <c r="K179" s="166">
        <f t="shared" si="90"/>
        <v>-5000</v>
      </c>
      <c r="L179" s="166">
        <f t="shared" si="90"/>
        <v>-5000</v>
      </c>
      <c r="M179" s="166">
        <f t="shared" si="90"/>
        <v>-5000</v>
      </c>
      <c r="N179" s="166">
        <f t="shared" si="90"/>
        <v>-5000</v>
      </c>
      <c r="O179" s="166">
        <f t="shared" ref="O179:Y182" si="91">SUMPRODUCT(($D$158:$D$177=$C179)*O$158:O$177)</f>
        <v>-5000</v>
      </c>
      <c r="P179" s="166">
        <f t="shared" si="91"/>
        <v>-5000</v>
      </c>
      <c r="Q179" s="166">
        <f t="shared" si="91"/>
        <v>-5000</v>
      </c>
      <c r="R179" s="166">
        <f t="shared" si="91"/>
        <v>-5000</v>
      </c>
      <c r="S179" s="166">
        <f t="shared" si="91"/>
        <v>-5000</v>
      </c>
      <c r="T179" s="166">
        <f t="shared" si="91"/>
        <v>-5000</v>
      </c>
      <c r="U179" s="166">
        <f t="shared" si="91"/>
        <v>-5000</v>
      </c>
      <c r="V179" s="166">
        <f t="shared" si="91"/>
        <v>-5000</v>
      </c>
      <c r="W179" s="166">
        <f t="shared" si="91"/>
        <v>-5000</v>
      </c>
      <c r="X179" s="166">
        <f t="shared" si="91"/>
        <v>-5000</v>
      </c>
      <c r="Y179" s="166">
        <f t="shared" si="91"/>
        <v>-5000</v>
      </c>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97"/>
      <c r="BA179" s="197"/>
      <c r="BB179" s="197"/>
      <c r="BC179" s="197"/>
      <c r="BD179" s="197"/>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118"/>
      <c r="CE179" s="118"/>
    </row>
    <row r="180" spans="1:83" s="38" customFormat="1" ht="14" hidden="1" x14ac:dyDescent="0.3">
      <c r="A180" s="37"/>
      <c r="B180" s="37"/>
      <c r="C180" s="41" t="s">
        <v>282</v>
      </c>
      <c r="D180" s="145" t="s">
        <v>282</v>
      </c>
      <c r="E180" s="164">
        <f t="shared" si="90"/>
        <v>0</v>
      </c>
      <c r="F180" s="164">
        <f t="shared" si="90"/>
        <v>0</v>
      </c>
      <c r="G180" s="164">
        <f t="shared" si="90"/>
        <v>0</v>
      </c>
      <c r="H180" s="164">
        <f t="shared" si="90"/>
        <v>0</v>
      </c>
      <c r="I180" s="164">
        <f t="shared" si="90"/>
        <v>0</v>
      </c>
      <c r="J180" s="164">
        <f t="shared" si="90"/>
        <v>0</v>
      </c>
      <c r="K180" s="164">
        <f t="shared" si="90"/>
        <v>0</v>
      </c>
      <c r="L180" s="164">
        <f t="shared" si="90"/>
        <v>0</v>
      </c>
      <c r="M180" s="164">
        <f t="shared" si="90"/>
        <v>0</v>
      </c>
      <c r="N180" s="164">
        <f t="shared" si="90"/>
        <v>0</v>
      </c>
      <c r="O180" s="164">
        <f t="shared" si="91"/>
        <v>0</v>
      </c>
      <c r="P180" s="164">
        <f t="shared" si="91"/>
        <v>0</v>
      </c>
      <c r="Q180" s="164">
        <f t="shared" si="91"/>
        <v>0</v>
      </c>
      <c r="R180" s="164">
        <f t="shared" si="91"/>
        <v>0</v>
      </c>
      <c r="S180" s="164">
        <f t="shared" si="91"/>
        <v>0</v>
      </c>
      <c r="T180" s="164">
        <f t="shared" si="91"/>
        <v>0</v>
      </c>
      <c r="U180" s="164">
        <f t="shared" si="91"/>
        <v>0</v>
      </c>
      <c r="V180" s="164">
        <f t="shared" si="91"/>
        <v>0</v>
      </c>
      <c r="W180" s="164">
        <f t="shared" si="91"/>
        <v>0</v>
      </c>
      <c r="X180" s="164">
        <f t="shared" si="91"/>
        <v>0</v>
      </c>
      <c r="Y180" s="164">
        <f t="shared" si="91"/>
        <v>0</v>
      </c>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97"/>
      <c r="BA180" s="197"/>
      <c r="BB180" s="197"/>
      <c r="BC180" s="197"/>
      <c r="BD180" s="197"/>
      <c r="BE180" s="60"/>
      <c r="BF180" s="60"/>
      <c r="BG180" s="60"/>
      <c r="BH180" s="60"/>
      <c r="BI180" s="60"/>
      <c r="BJ180" s="60"/>
      <c r="BK180" s="60"/>
      <c r="BL180" s="60"/>
      <c r="BM180" s="60"/>
      <c r="BN180" s="60"/>
      <c r="BO180" s="60"/>
      <c r="BP180" s="60"/>
      <c r="BQ180" s="60"/>
      <c r="BR180" s="60"/>
      <c r="BS180" s="60"/>
      <c r="BT180" s="60"/>
      <c r="BU180" s="60"/>
      <c r="BV180" s="60"/>
      <c r="BW180" s="60"/>
      <c r="BX180" s="60"/>
      <c r="BY180" s="60"/>
      <c r="BZ180" s="60"/>
      <c r="CA180" s="60"/>
      <c r="CB180" s="60"/>
      <c r="CC180" s="60"/>
      <c r="CD180" s="118"/>
      <c r="CE180" s="118"/>
    </row>
    <row r="181" spans="1:83" s="38" customFormat="1" ht="14" hidden="1" x14ac:dyDescent="0.3">
      <c r="A181" s="37"/>
      <c r="B181" s="37"/>
      <c r="C181" s="41" t="s">
        <v>283</v>
      </c>
      <c r="D181" s="145" t="s">
        <v>283</v>
      </c>
      <c r="E181" s="164">
        <f t="shared" si="90"/>
        <v>0</v>
      </c>
      <c r="F181" s="164">
        <f t="shared" si="90"/>
        <v>1000</v>
      </c>
      <c r="G181" s="164">
        <f t="shared" si="90"/>
        <v>1000</v>
      </c>
      <c r="H181" s="164">
        <f t="shared" si="90"/>
        <v>1000</v>
      </c>
      <c r="I181" s="164">
        <f t="shared" si="90"/>
        <v>1000</v>
      </c>
      <c r="J181" s="164">
        <f t="shared" si="90"/>
        <v>1000</v>
      </c>
      <c r="K181" s="164">
        <f t="shared" si="90"/>
        <v>1000</v>
      </c>
      <c r="L181" s="164">
        <f t="shared" si="90"/>
        <v>1000</v>
      </c>
      <c r="M181" s="164">
        <f t="shared" si="90"/>
        <v>1000</v>
      </c>
      <c r="N181" s="164">
        <f t="shared" si="90"/>
        <v>1000</v>
      </c>
      <c r="O181" s="164">
        <f t="shared" si="91"/>
        <v>1000</v>
      </c>
      <c r="P181" s="164">
        <f t="shared" si="91"/>
        <v>1000</v>
      </c>
      <c r="Q181" s="164">
        <f t="shared" si="91"/>
        <v>1000</v>
      </c>
      <c r="R181" s="164">
        <f t="shared" si="91"/>
        <v>1000</v>
      </c>
      <c r="S181" s="164">
        <f t="shared" si="91"/>
        <v>1000</v>
      </c>
      <c r="T181" s="164">
        <f t="shared" si="91"/>
        <v>1000</v>
      </c>
      <c r="U181" s="164">
        <f t="shared" si="91"/>
        <v>1000</v>
      </c>
      <c r="V181" s="164">
        <f t="shared" si="91"/>
        <v>1000</v>
      </c>
      <c r="W181" s="164">
        <f t="shared" si="91"/>
        <v>1000</v>
      </c>
      <c r="X181" s="164">
        <f t="shared" si="91"/>
        <v>1000</v>
      </c>
      <c r="Y181" s="164">
        <f t="shared" si="91"/>
        <v>1000</v>
      </c>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97"/>
      <c r="BA181" s="197"/>
      <c r="BB181" s="197"/>
      <c r="BC181" s="197"/>
      <c r="BD181" s="197"/>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118"/>
      <c r="CE181" s="118"/>
    </row>
    <row r="182" spans="1:83" s="38" customFormat="1" ht="14" hidden="1" x14ac:dyDescent="0.3">
      <c r="A182" s="37"/>
      <c r="B182" s="37"/>
      <c r="C182" s="41"/>
      <c r="D182" s="41" t="s">
        <v>296</v>
      </c>
      <c r="E182" s="164">
        <f t="shared" si="90"/>
        <v>0</v>
      </c>
      <c r="F182" s="164">
        <f t="shared" si="90"/>
        <v>0</v>
      </c>
      <c r="G182" s="164">
        <f t="shared" si="90"/>
        <v>0</v>
      </c>
      <c r="H182" s="164">
        <f t="shared" si="90"/>
        <v>0</v>
      </c>
      <c r="I182" s="164">
        <f t="shared" si="90"/>
        <v>0</v>
      </c>
      <c r="J182" s="164">
        <f t="shared" si="90"/>
        <v>0</v>
      </c>
      <c r="K182" s="164">
        <f t="shared" si="90"/>
        <v>0</v>
      </c>
      <c r="L182" s="164">
        <f t="shared" si="90"/>
        <v>0</v>
      </c>
      <c r="M182" s="164">
        <f t="shared" si="90"/>
        <v>0</v>
      </c>
      <c r="N182" s="164">
        <f t="shared" si="90"/>
        <v>0</v>
      </c>
      <c r="O182" s="164">
        <f t="shared" si="91"/>
        <v>0</v>
      </c>
      <c r="P182" s="164">
        <f t="shared" si="91"/>
        <v>0</v>
      </c>
      <c r="Q182" s="164">
        <f t="shared" si="91"/>
        <v>0</v>
      </c>
      <c r="R182" s="164">
        <f t="shared" si="91"/>
        <v>0</v>
      </c>
      <c r="S182" s="164">
        <f t="shared" si="91"/>
        <v>0</v>
      </c>
      <c r="T182" s="164">
        <f t="shared" si="91"/>
        <v>0</v>
      </c>
      <c r="U182" s="164">
        <f t="shared" si="91"/>
        <v>0</v>
      </c>
      <c r="V182" s="164">
        <f t="shared" si="91"/>
        <v>0</v>
      </c>
      <c r="W182" s="164">
        <f t="shared" si="91"/>
        <v>0</v>
      </c>
      <c r="X182" s="164">
        <f t="shared" si="91"/>
        <v>0</v>
      </c>
      <c r="Y182" s="164">
        <f t="shared" si="91"/>
        <v>0</v>
      </c>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97"/>
      <c r="BA182" s="197"/>
      <c r="BB182" s="197"/>
      <c r="BC182" s="197"/>
      <c r="BD182" s="197"/>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118"/>
      <c r="CE182" s="118"/>
    </row>
    <row r="183" spans="1:83" s="38" customFormat="1" ht="14" hidden="1" x14ac:dyDescent="0.3">
      <c r="A183" s="37"/>
      <c r="B183" s="37"/>
      <c r="C183" s="37"/>
      <c r="D183" s="37"/>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97"/>
      <c r="BA183" s="197"/>
      <c r="BB183" s="197"/>
      <c r="BC183" s="197"/>
      <c r="BD183" s="197"/>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118"/>
      <c r="CE183" s="118"/>
    </row>
    <row r="184" spans="1:83" s="38" customFormat="1" ht="14" hidden="1" x14ac:dyDescent="0.3">
      <c r="A184" s="37"/>
      <c r="B184" s="37"/>
      <c r="C184" s="37" t="s">
        <v>277</v>
      </c>
      <c r="D184" s="37"/>
      <c r="E184" s="37"/>
      <c r="F184" s="37"/>
      <c r="G184" s="37"/>
      <c r="H184" s="37"/>
      <c r="I184" s="37"/>
      <c r="J184" s="37"/>
      <c r="K184" s="37"/>
      <c r="L184" s="37"/>
      <c r="M184" s="37"/>
      <c r="N184" s="37"/>
      <c r="O184" s="37"/>
      <c r="P184" s="37"/>
      <c r="Q184" s="37"/>
      <c r="R184" s="37"/>
      <c r="S184" s="37"/>
      <c r="T184" s="37"/>
      <c r="U184" s="37"/>
      <c r="V184" s="37"/>
      <c r="W184" s="37"/>
      <c r="X184" s="37"/>
      <c r="Y184" s="37"/>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97"/>
      <c r="BA184" s="197"/>
      <c r="BB184" s="197"/>
      <c r="BC184" s="197"/>
      <c r="BD184" s="197"/>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118"/>
      <c r="CE184" s="118"/>
    </row>
    <row r="185" spans="1:83" s="38" customFormat="1" ht="14" hidden="1" x14ac:dyDescent="0.3">
      <c r="A185" s="37"/>
      <c r="B185" s="37"/>
      <c r="C185" s="37" t="s">
        <v>276</v>
      </c>
      <c r="D185" s="37"/>
      <c r="E185" s="164"/>
      <c r="F185" s="164"/>
      <c r="G185" s="37"/>
      <c r="H185" s="37"/>
      <c r="I185" s="37"/>
      <c r="J185" s="37"/>
      <c r="K185" s="37"/>
      <c r="L185" s="37"/>
      <c r="M185" s="37"/>
      <c r="N185" s="37"/>
      <c r="O185" s="37"/>
      <c r="P185" s="37"/>
      <c r="Q185" s="37"/>
      <c r="R185" s="37"/>
      <c r="S185" s="37"/>
      <c r="T185" s="37"/>
      <c r="U185" s="37"/>
      <c r="V185" s="37"/>
      <c r="W185" s="37"/>
      <c r="X185" s="37"/>
      <c r="Y185" s="37"/>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97"/>
      <c r="BA185" s="197"/>
      <c r="BB185" s="197"/>
      <c r="BC185" s="197"/>
      <c r="BD185" s="197"/>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118"/>
      <c r="CE185" s="118"/>
    </row>
    <row r="186" spans="1:83" s="38" customFormat="1" ht="14" hidden="1" x14ac:dyDescent="0.3">
      <c r="A186" s="139"/>
      <c r="B186" s="139"/>
      <c r="C186" s="167"/>
      <c r="D186" s="168"/>
      <c r="E186" s="139">
        <v>0</v>
      </c>
      <c r="F186" s="139">
        <f t="shared" ref="F186:U186" si="92">E186+1</f>
        <v>1</v>
      </c>
      <c r="G186" s="139">
        <f t="shared" si="92"/>
        <v>2</v>
      </c>
      <c r="H186" s="139">
        <f t="shared" si="92"/>
        <v>3</v>
      </c>
      <c r="I186" s="139">
        <f t="shared" si="92"/>
        <v>4</v>
      </c>
      <c r="J186" s="139">
        <f t="shared" si="92"/>
        <v>5</v>
      </c>
      <c r="K186" s="139">
        <f t="shared" si="92"/>
        <v>6</v>
      </c>
      <c r="L186" s="139">
        <f t="shared" si="92"/>
        <v>7</v>
      </c>
      <c r="M186" s="139">
        <f t="shared" si="92"/>
        <v>8</v>
      </c>
      <c r="N186" s="139">
        <f t="shared" si="92"/>
        <v>9</v>
      </c>
      <c r="O186" s="139">
        <f t="shared" si="92"/>
        <v>10</v>
      </c>
      <c r="P186" s="139">
        <f t="shared" si="92"/>
        <v>11</v>
      </c>
      <c r="Q186" s="139">
        <f t="shared" si="92"/>
        <v>12</v>
      </c>
      <c r="R186" s="139">
        <f t="shared" si="92"/>
        <v>13</v>
      </c>
      <c r="S186" s="139">
        <f t="shared" si="92"/>
        <v>14</v>
      </c>
      <c r="T186" s="139">
        <f t="shared" si="92"/>
        <v>15</v>
      </c>
      <c r="U186" s="139">
        <f t="shared" si="92"/>
        <v>16</v>
      </c>
      <c r="V186" s="139">
        <f>U186+1</f>
        <v>17</v>
      </c>
      <c r="W186" s="139">
        <f>V186+1</f>
        <v>18</v>
      </c>
      <c r="X186" s="139">
        <f>W186+1</f>
        <v>19</v>
      </c>
      <c r="Y186" s="139">
        <f>X186+1</f>
        <v>20</v>
      </c>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97"/>
      <c r="BA186" s="197"/>
      <c r="BB186" s="197"/>
      <c r="BC186" s="197"/>
      <c r="BD186" s="197"/>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118"/>
      <c r="CE186" s="118"/>
    </row>
    <row r="187" spans="1:83" s="38" customFormat="1" ht="14" hidden="1" x14ac:dyDescent="0.3">
      <c r="A187" s="37"/>
      <c r="B187" s="37"/>
      <c r="C187" s="142" t="s">
        <v>113</v>
      </c>
      <c r="D187" s="144" t="str">
        <f t="shared" ref="D187:D206" si="93">D7</f>
        <v>Prioritaire</v>
      </c>
      <c r="E187" s="166">
        <f t="shared" ref="E187:E206" si="94">E100+E129+E158</f>
        <v>-50000</v>
      </c>
      <c r="F187" s="166">
        <f t="shared" ref="F187:F206" ca="1" si="95">F129+F158</f>
        <v>42650.555555555555</v>
      </c>
      <c r="G187" s="166">
        <f t="shared" ref="G187:Y187" ca="1" si="96">G129+G158</f>
        <v>44933.083333333328</v>
      </c>
      <c r="H187" s="166">
        <f t="shared" ca="1" si="96"/>
        <v>47329.737500000003</v>
      </c>
      <c r="I187" s="166">
        <f t="shared" ca="1" si="96"/>
        <v>49846.224375000005</v>
      </c>
      <c r="J187" s="166">
        <f t="shared" ca="1" si="96"/>
        <v>52488.535593750014</v>
      </c>
      <c r="K187" s="166">
        <f t="shared" ca="1" si="96"/>
        <v>55262.96237343752</v>
      </c>
      <c r="L187" s="166">
        <f t="shared" ca="1" si="96"/>
        <v>58176.110492109394</v>
      </c>
      <c r="M187" s="166">
        <f t="shared" ca="1" si="96"/>
        <v>61234.916016714866</v>
      </c>
      <c r="N187" s="166">
        <f t="shared" ca="1" si="96"/>
        <v>64446.661817550601</v>
      </c>
      <c r="O187" s="166">
        <f t="shared" ca="1" si="96"/>
        <v>67818.99490842814</v>
      </c>
      <c r="P187" s="166">
        <f t="shared" ca="1" si="96"/>
        <v>71359.944653849539</v>
      </c>
      <c r="Q187" s="166">
        <f t="shared" ca="1" si="96"/>
        <v>75077.94188654203</v>
      </c>
      <c r="R187" s="166">
        <f t="shared" ca="1" si="96"/>
        <v>78981.838980869143</v>
      </c>
      <c r="S187" s="166">
        <f t="shared" ca="1" si="96"/>
        <v>83080.930929912603</v>
      </c>
      <c r="T187" s="166">
        <f t="shared" ca="1" si="96"/>
        <v>87384.977476408239</v>
      </c>
      <c r="U187" s="166">
        <f t="shared" ca="1" si="96"/>
        <v>91904.226350228651</v>
      </c>
      <c r="V187" s="166">
        <f t="shared" ca="1" si="96"/>
        <v>96649.437667740101</v>
      </c>
      <c r="W187" s="166">
        <f t="shared" ca="1" si="96"/>
        <v>101631.90955112712</v>
      </c>
      <c r="X187" s="166">
        <f t="shared" ca="1" si="96"/>
        <v>106863.50502868346</v>
      </c>
      <c r="Y187" s="166">
        <f t="shared" ca="1" si="96"/>
        <v>112356.68028011764</v>
      </c>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97"/>
      <c r="BA187" s="197"/>
      <c r="BB187" s="197"/>
      <c r="BC187" s="197"/>
      <c r="BD187" s="197"/>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118"/>
      <c r="CE187" s="118"/>
    </row>
    <row r="188" spans="1:83" s="38" customFormat="1" ht="14" hidden="1" x14ac:dyDescent="0.3">
      <c r="A188" s="37"/>
      <c r="B188" s="37"/>
      <c r="C188" s="41" t="s">
        <v>114</v>
      </c>
      <c r="D188" s="145" t="str">
        <f t="shared" si="93"/>
        <v>Très ambitieux</v>
      </c>
      <c r="E188" s="164">
        <f t="shared" si="94"/>
        <v>-43500</v>
      </c>
      <c r="F188" s="164">
        <f t="shared" ca="1" si="95"/>
        <v>5022</v>
      </c>
      <c r="G188" s="164">
        <f t="shared" ref="G188:Y188" ca="1" si="97">G130+G159</f>
        <v>5273.1</v>
      </c>
      <c r="H188" s="164">
        <f t="shared" ca="1" si="97"/>
        <v>5536.7550000000001</v>
      </c>
      <c r="I188" s="164">
        <f t="shared" ca="1" si="97"/>
        <v>5813.5927500000007</v>
      </c>
      <c r="J188" s="164">
        <f t="shared" ca="1" si="97"/>
        <v>6104.2723875000011</v>
      </c>
      <c r="K188" s="164">
        <f t="shared" ca="1" si="97"/>
        <v>6409.4860068750022</v>
      </c>
      <c r="L188" s="164">
        <f t="shared" ca="1" si="97"/>
        <v>6729.960307218752</v>
      </c>
      <c r="M188" s="164">
        <f t="shared" ca="1" si="97"/>
        <v>7066.4583225796896</v>
      </c>
      <c r="N188" s="164">
        <f t="shared" ca="1" si="97"/>
        <v>7419.7812387086742</v>
      </c>
      <c r="O188" s="164">
        <f t="shared" ca="1" si="97"/>
        <v>7790.7703006441088</v>
      </c>
      <c r="P188" s="164">
        <f t="shared" ca="1" si="97"/>
        <v>8180.3088156763142</v>
      </c>
      <c r="Q188" s="164">
        <f t="shared" ca="1" si="97"/>
        <v>8589.3242564601296</v>
      </c>
      <c r="R188" s="164">
        <f t="shared" ca="1" si="97"/>
        <v>9018.790469283138</v>
      </c>
      <c r="S188" s="164">
        <f t="shared" ca="1" si="97"/>
        <v>9469.7299927472941</v>
      </c>
      <c r="T188" s="164">
        <f t="shared" ca="1" si="97"/>
        <v>9943.2164923846594</v>
      </c>
      <c r="U188" s="164">
        <f t="shared" ca="1" si="97"/>
        <v>10440.377317003893</v>
      </c>
      <c r="V188" s="164">
        <f t="shared" ca="1" si="97"/>
        <v>10962.396182854089</v>
      </c>
      <c r="W188" s="164">
        <f t="shared" ca="1" si="97"/>
        <v>11510.515991996795</v>
      </c>
      <c r="X188" s="164">
        <f t="shared" ca="1" si="97"/>
        <v>12086.041791596634</v>
      </c>
      <c r="Y188" s="164">
        <f t="shared" ca="1" si="97"/>
        <v>12690.343881176466</v>
      </c>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97"/>
      <c r="BA188" s="197"/>
      <c r="BB188" s="197"/>
      <c r="BC188" s="197"/>
      <c r="BD188" s="197"/>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118"/>
      <c r="CE188" s="118"/>
    </row>
    <row r="189" spans="1:83" s="38" customFormat="1" ht="14" hidden="1" x14ac:dyDescent="0.3">
      <c r="A189" s="37"/>
      <c r="B189" s="37"/>
      <c r="C189" s="41" t="s">
        <v>115</v>
      </c>
      <c r="D189" s="145" t="str">
        <f t="shared" si="93"/>
        <v>Très ambitieux</v>
      </c>
      <c r="E189" s="164">
        <f t="shared" si="94"/>
        <v>-66000</v>
      </c>
      <c r="F189" s="164">
        <f t="shared" ca="1" si="95"/>
        <v>9453.7000000000007</v>
      </c>
      <c r="G189" s="164">
        <f t="shared" ref="G189:Y189" ca="1" si="98">G131+G160</f>
        <v>9876.385000000002</v>
      </c>
      <c r="H189" s="164">
        <f t="shared" ca="1" si="98"/>
        <v>10320.204250000001</v>
      </c>
      <c r="I189" s="164">
        <f t="shared" ca="1" si="98"/>
        <v>10786.214462500002</v>
      </c>
      <c r="J189" s="164">
        <f t="shared" ca="1" si="98"/>
        <v>11275.525185625003</v>
      </c>
      <c r="K189" s="164">
        <f t="shared" ca="1" si="98"/>
        <v>11789.301444906254</v>
      </c>
      <c r="L189" s="164">
        <f t="shared" ca="1" si="98"/>
        <v>12328.766517151567</v>
      </c>
      <c r="M189" s="164">
        <f t="shared" ca="1" si="98"/>
        <v>12895.204843009145</v>
      </c>
      <c r="N189" s="164">
        <f t="shared" ca="1" si="98"/>
        <v>13489.965085159603</v>
      </c>
      <c r="O189" s="164">
        <f t="shared" ca="1" si="98"/>
        <v>14114.463339417583</v>
      </c>
      <c r="P189" s="164">
        <f t="shared" ca="1" si="98"/>
        <v>14770.186506388463</v>
      </c>
      <c r="Q189" s="164">
        <f t="shared" ca="1" si="98"/>
        <v>15458.695831707886</v>
      </c>
      <c r="R189" s="164">
        <f t="shared" ca="1" si="98"/>
        <v>16181.630623293282</v>
      </c>
      <c r="S189" s="164">
        <f t="shared" ca="1" si="98"/>
        <v>16940.71215445795</v>
      </c>
      <c r="T189" s="164">
        <f t="shared" ca="1" si="98"/>
        <v>17737.747762180847</v>
      </c>
      <c r="U189" s="164">
        <f t="shared" ca="1" si="98"/>
        <v>18574.635150289891</v>
      </c>
      <c r="V189" s="164">
        <f t="shared" ca="1" si="98"/>
        <v>19453.366907804386</v>
      </c>
      <c r="W189" s="164">
        <f t="shared" ca="1" si="98"/>
        <v>20376.035253194608</v>
      </c>
      <c r="X189" s="164">
        <f t="shared" ca="1" si="98"/>
        <v>21344.837015854337</v>
      </c>
      <c r="Y189" s="164">
        <f t="shared" ca="1" si="98"/>
        <v>22362.078866647054</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97"/>
      <c r="BA189" s="197"/>
      <c r="BB189" s="197"/>
      <c r="BC189" s="197"/>
      <c r="BD189" s="197"/>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118"/>
      <c r="CE189" s="118"/>
    </row>
    <row r="190" spans="1:83" s="38" customFormat="1" ht="14" hidden="1" x14ac:dyDescent="0.3">
      <c r="A190" s="37"/>
      <c r="B190" s="37"/>
      <c r="C190" s="41" t="s">
        <v>116</v>
      </c>
      <c r="D190" s="145" t="str">
        <f t="shared" si="93"/>
        <v>Très ambitieux</v>
      </c>
      <c r="E190" s="164">
        <f t="shared" si="94"/>
        <v>-49500</v>
      </c>
      <c r="F190" s="164">
        <f t="shared" ca="1" si="95"/>
        <v>9207</v>
      </c>
      <c r="G190" s="164">
        <f t="shared" ref="G190:Y190" ca="1" si="99">G132+G161</f>
        <v>9667.35</v>
      </c>
      <c r="H190" s="164">
        <f t="shared" ca="1" si="99"/>
        <v>10150.717500000001</v>
      </c>
      <c r="I190" s="164">
        <f t="shared" ca="1" si="99"/>
        <v>10658.253375000002</v>
      </c>
      <c r="J190" s="164">
        <f t="shared" ca="1" si="99"/>
        <v>11191.166043750001</v>
      </c>
      <c r="K190" s="164">
        <f t="shared" ca="1" si="99"/>
        <v>11750.724345937504</v>
      </c>
      <c r="L190" s="164">
        <f t="shared" ca="1" si="99"/>
        <v>12338.260563234378</v>
      </c>
      <c r="M190" s="164">
        <f t="shared" ca="1" si="99"/>
        <v>12955.173591396098</v>
      </c>
      <c r="N190" s="164">
        <f t="shared" ca="1" si="99"/>
        <v>13602.932270965903</v>
      </c>
      <c r="O190" s="164">
        <f t="shared" ca="1" si="99"/>
        <v>14283.0788845142</v>
      </c>
      <c r="P190" s="164">
        <f t="shared" ca="1" si="99"/>
        <v>14997.232828739909</v>
      </c>
      <c r="Q190" s="164">
        <f t="shared" ca="1" si="99"/>
        <v>15747.094470176906</v>
      </c>
      <c r="R190" s="164">
        <f t="shared" ca="1" si="99"/>
        <v>16534.449193685752</v>
      </c>
      <c r="S190" s="164">
        <f t="shared" ca="1" si="99"/>
        <v>17361.171653370038</v>
      </c>
      <c r="T190" s="164">
        <f t="shared" ca="1" si="99"/>
        <v>18229.230236038544</v>
      </c>
      <c r="U190" s="164">
        <f t="shared" ca="1" si="99"/>
        <v>19140.691747840472</v>
      </c>
      <c r="V190" s="164">
        <f t="shared" ca="1" si="99"/>
        <v>20097.726335232499</v>
      </c>
      <c r="W190" s="164">
        <f t="shared" ca="1" si="99"/>
        <v>21102.612651994124</v>
      </c>
      <c r="X190" s="164">
        <f t="shared" ca="1" si="99"/>
        <v>22157.743284593831</v>
      </c>
      <c r="Y190" s="164">
        <f t="shared" ca="1" si="99"/>
        <v>23265.630448823522</v>
      </c>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97"/>
      <c r="BA190" s="197"/>
      <c r="BB190" s="197"/>
      <c r="BC190" s="197"/>
      <c r="BD190" s="197"/>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118"/>
      <c r="CE190" s="118"/>
    </row>
    <row r="191" spans="1:83" s="38" customFormat="1" ht="14" hidden="1" x14ac:dyDescent="0.3">
      <c r="A191" s="37"/>
      <c r="B191" s="37"/>
      <c r="C191" s="41" t="s">
        <v>117</v>
      </c>
      <c r="D191" s="145" t="str">
        <f t="shared" si="93"/>
        <v>Prioritaire</v>
      </c>
      <c r="E191" s="164">
        <f t="shared" si="94"/>
        <v>-1500</v>
      </c>
      <c r="F191" s="164">
        <f t="shared" ca="1" si="95"/>
        <v>7288.5</v>
      </c>
      <c r="G191" s="164">
        <f t="shared" ref="G191:Y191" ca="1" si="100">G133+G162</f>
        <v>7727.9250000000011</v>
      </c>
      <c r="H191" s="164">
        <f t="shared" ca="1" si="100"/>
        <v>8189.3212500000009</v>
      </c>
      <c r="I191" s="164">
        <f t="shared" ca="1" si="100"/>
        <v>8673.7873125000006</v>
      </c>
      <c r="J191" s="164">
        <f t="shared" ca="1" si="100"/>
        <v>9182.4766781250019</v>
      </c>
      <c r="K191" s="164">
        <f t="shared" ca="1" si="100"/>
        <v>9716.6005120312529</v>
      </c>
      <c r="L191" s="164">
        <f t="shared" ca="1" si="100"/>
        <v>10277.430537632816</v>
      </c>
      <c r="M191" s="164">
        <f t="shared" ca="1" si="100"/>
        <v>10866.302064514457</v>
      </c>
      <c r="N191" s="164">
        <f t="shared" ca="1" si="100"/>
        <v>11484.61716774018</v>
      </c>
      <c r="O191" s="164">
        <f t="shared" ca="1" si="100"/>
        <v>12133.848026127191</v>
      </c>
      <c r="P191" s="164">
        <f t="shared" ca="1" si="100"/>
        <v>12815.540427433549</v>
      </c>
      <c r="Q191" s="164">
        <f t="shared" ca="1" si="100"/>
        <v>13531.317448805228</v>
      </c>
      <c r="R191" s="164">
        <f t="shared" ca="1" si="100"/>
        <v>14282.88332124549</v>
      </c>
      <c r="S191" s="164">
        <f t="shared" ca="1" si="100"/>
        <v>15072.027487307765</v>
      </c>
      <c r="T191" s="164">
        <f t="shared" ca="1" si="100"/>
        <v>15900.628861673154</v>
      </c>
      <c r="U191" s="164">
        <f t="shared" ca="1" si="100"/>
        <v>16770.660304756813</v>
      </c>
      <c r="V191" s="164">
        <f t="shared" ca="1" si="100"/>
        <v>17684.193319994658</v>
      </c>
      <c r="W191" s="164">
        <f t="shared" ca="1" si="100"/>
        <v>18643.402985994391</v>
      </c>
      <c r="X191" s="164">
        <f t="shared" ca="1" si="100"/>
        <v>19650.573135294111</v>
      </c>
      <c r="Y191" s="164">
        <f t="shared" ca="1" si="100"/>
        <v>20708.101792058816</v>
      </c>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97"/>
      <c r="BA191" s="197"/>
      <c r="BB191" s="197"/>
      <c r="BC191" s="197"/>
      <c r="BD191" s="197"/>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118"/>
      <c r="CE191" s="118"/>
    </row>
    <row r="192" spans="1:83" s="38" customFormat="1" ht="14" hidden="1" x14ac:dyDescent="0.3">
      <c r="A192" s="37"/>
      <c r="B192" s="37"/>
      <c r="C192" s="41" t="s">
        <v>118</v>
      </c>
      <c r="D192" s="145" t="str">
        <f t="shared" si="93"/>
        <v>Ambitieux</v>
      </c>
      <c r="E192" s="164">
        <f t="shared" si="94"/>
        <v>-62100</v>
      </c>
      <c r="F192" s="164">
        <f t="shared" ca="1" si="95"/>
        <v>17582.222222222223</v>
      </c>
      <c r="G192" s="164">
        <f t="shared" ref="G192:Y192" ca="1" si="101">G134+G163</f>
        <v>18461.333333333336</v>
      </c>
      <c r="H192" s="164">
        <f t="shared" ca="1" si="101"/>
        <v>19384.400000000001</v>
      </c>
      <c r="I192" s="164">
        <f t="shared" ca="1" si="101"/>
        <v>20353.620000000003</v>
      </c>
      <c r="J192" s="164">
        <f t="shared" ca="1" si="101"/>
        <v>21371.301000000003</v>
      </c>
      <c r="K192" s="164">
        <f t="shared" ca="1" si="101"/>
        <v>22439.866050000008</v>
      </c>
      <c r="L192" s="164">
        <f t="shared" ca="1" si="101"/>
        <v>23561.859352500007</v>
      </c>
      <c r="M192" s="164">
        <f t="shared" ca="1" si="101"/>
        <v>24739.952320125009</v>
      </c>
      <c r="N192" s="164">
        <f t="shared" ca="1" si="101"/>
        <v>25976.949936131259</v>
      </c>
      <c r="O192" s="164">
        <f t="shared" ca="1" si="101"/>
        <v>27275.797432937823</v>
      </c>
      <c r="P192" s="164">
        <f t="shared" ca="1" si="101"/>
        <v>28639.587304584715</v>
      </c>
      <c r="Q192" s="164">
        <f t="shared" ca="1" si="101"/>
        <v>30071.56666981395</v>
      </c>
      <c r="R192" s="164">
        <f t="shared" ca="1" si="101"/>
        <v>31575.145003304653</v>
      </c>
      <c r="S192" s="164">
        <f t="shared" ca="1" si="101"/>
        <v>33153.902253469889</v>
      </c>
      <c r="T192" s="164">
        <f t="shared" ca="1" si="101"/>
        <v>34811.597366143382</v>
      </c>
      <c r="U192" s="164">
        <f t="shared" ca="1" si="101"/>
        <v>36552.177234450559</v>
      </c>
      <c r="V192" s="164">
        <f t="shared" ca="1" si="101"/>
        <v>38379.786096173084</v>
      </c>
      <c r="W192" s="164">
        <f t="shared" ca="1" si="101"/>
        <v>40298.775400981744</v>
      </c>
      <c r="X192" s="164">
        <f t="shared" ca="1" si="101"/>
        <v>42313.714171030828</v>
      </c>
      <c r="Y192" s="164">
        <f t="shared" ca="1" si="101"/>
        <v>44429.399879582372</v>
      </c>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97"/>
      <c r="BA192" s="197"/>
      <c r="BB192" s="197"/>
      <c r="BC192" s="197"/>
      <c r="BD192" s="197"/>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118"/>
      <c r="CE192" s="118"/>
    </row>
    <row r="193" spans="1:83" s="38" customFormat="1" ht="14" hidden="1" x14ac:dyDescent="0.3">
      <c r="A193" s="37"/>
      <c r="B193" s="37"/>
      <c r="C193" s="41" t="s">
        <v>123</v>
      </c>
      <c r="D193" s="145" t="str">
        <f t="shared" si="93"/>
        <v>Prioritaire</v>
      </c>
      <c r="E193" s="164">
        <f t="shared" si="94"/>
        <v>-50000</v>
      </c>
      <c r="F193" s="164">
        <f t="shared" ca="1" si="95"/>
        <v>24533.333333333332</v>
      </c>
      <c r="G193" s="164">
        <f t="shared" ref="G193:Y193" ca="1" si="102">G135+G164</f>
        <v>25760</v>
      </c>
      <c r="H193" s="164">
        <f t="shared" ca="1" si="102"/>
        <v>27048</v>
      </c>
      <c r="I193" s="164">
        <f t="shared" ca="1" si="102"/>
        <v>28400.400000000001</v>
      </c>
      <c r="J193" s="164">
        <f t="shared" ca="1" si="102"/>
        <v>29820.420000000006</v>
      </c>
      <c r="K193" s="164">
        <f t="shared" ca="1" si="102"/>
        <v>31311.441000000006</v>
      </c>
      <c r="L193" s="164">
        <f t="shared" ca="1" si="102"/>
        <v>32877.013050000009</v>
      </c>
      <c r="M193" s="164">
        <f t="shared" ca="1" si="102"/>
        <v>34520.863702500006</v>
      </c>
      <c r="N193" s="164">
        <f t="shared" ca="1" si="102"/>
        <v>36246.906887625009</v>
      </c>
      <c r="O193" s="164">
        <f t="shared" ca="1" si="102"/>
        <v>38059.252232006264</v>
      </c>
      <c r="P193" s="164">
        <f t="shared" ca="1" si="102"/>
        <v>39962.214843606576</v>
      </c>
      <c r="Q193" s="164">
        <f t="shared" ca="1" si="102"/>
        <v>41960.325585786908</v>
      </c>
      <c r="R193" s="164">
        <f t="shared" ca="1" si="102"/>
        <v>44058.341865076254</v>
      </c>
      <c r="S193" s="164">
        <f t="shared" ca="1" si="102"/>
        <v>46261.258958330072</v>
      </c>
      <c r="T193" s="164">
        <f t="shared" ca="1" si="102"/>
        <v>48574.32190624658</v>
      </c>
      <c r="U193" s="164">
        <f t="shared" ca="1" si="102"/>
        <v>51003.038001558911</v>
      </c>
      <c r="V193" s="164">
        <f t="shared" ca="1" si="102"/>
        <v>53553.189901636862</v>
      </c>
      <c r="W193" s="164">
        <f t="shared" ca="1" si="102"/>
        <v>56230.84939671871</v>
      </c>
      <c r="X193" s="164">
        <f t="shared" ca="1" si="102"/>
        <v>59042.391866554644</v>
      </c>
      <c r="Y193" s="164">
        <f t="shared" ca="1" si="102"/>
        <v>61994.511459882371</v>
      </c>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97"/>
      <c r="BA193" s="197"/>
      <c r="BB193" s="197"/>
      <c r="BC193" s="197"/>
      <c r="BD193" s="197"/>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118"/>
      <c r="CE193" s="118"/>
    </row>
    <row r="194" spans="1:83" s="38" customFormat="1" ht="14" hidden="1" x14ac:dyDescent="0.3">
      <c r="A194" s="37"/>
      <c r="B194" s="37"/>
      <c r="C194" s="41" t="s">
        <v>124</v>
      </c>
      <c r="D194" s="145" t="str">
        <f t="shared" si="93"/>
        <v>Prioritaire</v>
      </c>
      <c r="E194" s="164">
        <f t="shared" si="94"/>
        <v>-5300</v>
      </c>
      <c r="F194" s="164">
        <f t="shared" ca="1" si="95"/>
        <v>14965.333333333332</v>
      </c>
      <c r="G194" s="164">
        <f t="shared" ref="G194:Y194" ca="1" si="103">G136+G165</f>
        <v>15713.599999999999</v>
      </c>
      <c r="H194" s="164">
        <f t="shared" ca="1" si="103"/>
        <v>16499.28</v>
      </c>
      <c r="I194" s="164">
        <f t="shared" ca="1" si="103"/>
        <v>17324.243999999999</v>
      </c>
      <c r="J194" s="164">
        <f t="shared" ca="1" si="103"/>
        <v>18190.456200000001</v>
      </c>
      <c r="K194" s="164">
        <f t="shared" ca="1" si="103"/>
        <v>19099.979010000003</v>
      </c>
      <c r="L194" s="164">
        <f t="shared" ca="1" si="103"/>
        <v>20054.977960500004</v>
      </c>
      <c r="M194" s="164">
        <f t="shared" ca="1" si="103"/>
        <v>21057.726858525006</v>
      </c>
      <c r="N194" s="164">
        <f t="shared" ca="1" si="103"/>
        <v>22110.613201451255</v>
      </c>
      <c r="O194" s="164">
        <f t="shared" ca="1" si="103"/>
        <v>23216.143861523818</v>
      </c>
      <c r="P194" s="164">
        <f t="shared" ca="1" si="103"/>
        <v>24376.951054600009</v>
      </c>
      <c r="Q194" s="164">
        <f t="shared" ca="1" si="103"/>
        <v>25595.798607330013</v>
      </c>
      <c r="R194" s="164">
        <f t="shared" ca="1" si="103"/>
        <v>26875.588537696516</v>
      </c>
      <c r="S194" s="164">
        <f t="shared" ca="1" si="103"/>
        <v>28219.367964581343</v>
      </c>
      <c r="T194" s="164">
        <f t="shared" ca="1" si="103"/>
        <v>29630.336362810413</v>
      </c>
      <c r="U194" s="164">
        <f t="shared" ca="1" si="103"/>
        <v>31111.853180950933</v>
      </c>
      <c r="V194" s="164">
        <f t="shared" ca="1" si="103"/>
        <v>32667.445839998483</v>
      </c>
      <c r="W194" s="164">
        <f t="shared" ca="1" si="103"/>
        <v>34300.818131998414</v>
      </c>
      <c r="X194" s="164">
        <f t="shared" ca="1" si="103"/>
        <v>36015.859038598333</v>
      </c>
      <c r="Y194" s="164">
        <f t="shared" ca="1" si="103"/>
        <v>37816.651990528248</v>
      </c>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97"/>
      <c r="BA194" s="197"/>
      <c r="BB194" s="197"/>
      <c r="BC194" s="197"/>
      <c r="BD194" s="197"/>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118"/>
      <c r="CE194" s="118"/>
    </row>
    <row r="195" spans="1:83" s="38" customFormat="1" ht="14" hidden="1" x14ac:dyDescent="0.3">
      <c r="A195" s="37"/>
      <c r="B195" s="37"/>
      <c r="C195" s="41" t="s">
        <v>125</v>
      </c>
      <c r="D195" s="145" t="str">
        <f t="shared" si="93"/>
        <v>Ambitieux</v>
      </c>
      <c r="E195" s="164">
        <f t="shared" si="94"/>
        <v>-65000</v>
      </c>
      <c r="F195" s="164">
        <f t="shared" ca="1" si="95"/>
        <v>28622.222222222219</v>
      </c>
      <c r="G195" s="164">
        <f t="shared" ref="G195:Y195" ca="1" si="104">G137+G166</f>
        <v>30053.333333333332</v>
      </c>
      <c r="H195" s="164">
        <f t="shared" ca="1" si="104"/>
        <v>31555.999999999996</v>
      </c>
      <c r="I195" s="164">
        <f t="shared" ca="1" si="104"/>
        <v>33133.800000000003</v>
      </c>
      <c r="J195" s="164">
        <f t="shared" ca="1" si="104"/>
        <v>34790.490000000005</v>
      </c>
      <c r="K195" s="164">
        <f t="shared" ca="1" si="104"/>
        <v>36530.014500000005</v>
      </c>
      <c r="L195" s="164">
        <f t="shared" ca="1" si="104"/>
        <v>38356.51522500001</v>
      </c>
      <c r="M195" s="164">
        <f t="shared" ca="1" si="104"/>
        <v>40274.340986250012</v>
      </c>
      <c r="N195" s="164">
        <f t="shared" ca="1" si="104"/>
        <v>42288.058035562513</v>
      </c>
      <c r="O195" s="164">
        <f t="shared" ca="1" si="104"/>
        <v>44402.460937340635</v>
      </c>
      <c r="P195" s="164">
        <f t="shared" ca="1" si="104"/>
        <v>46622.583984207668</v>
      </c>
      <c r="Q195" s="164">
        <f t="shared" ca="1" si="104"/>
        <v>48953.713183418055</v>
      </c>
      <c r="R195" s="164">
        <f t="shared" ca="1" si="104"/>
        <v>51401.398842588962</v>
      </c>
      <c r="S195" s="164">
        <f t="shared" ca="1" si="104"/>
        <v>53971.46878471841</v>
      </c>
      <c r="T195" s="164">
        <f t="shared" ca="1" si="104"/>
        <v>56670.04222395434</v>
      </c>
      <c r="U195" s="164">
        <f t="shared" ca="1" si="104"/>
        <v>59503.544335152059</v>
      </c>
      <c r="V195" s="164">
        <f t="shared" ca="1" si="104"/>
        <v>62478.721551909664</v>
      </c>
      <c r="W195" s="164">
        <f t="shared" ca="1" si="104"/>
        <v>65602.657629505164</v>
      </c>
      <c r="X195" s="164">
        <f t="shared" ca="1" si="104"/>
        <v>68882.790510980412</v>
      </c>
      <c r="Y195" s="164">
        <f t="shared" ca="1" si="104"/>
        <v>72326.930036529433</v>
      </c>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97"/>
      <c r="BA195" s="197"/>
      <c r="BB195" s="197"/>
      <c r="BC195" s="197"/>
      <c r="BD195" s="197"/>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118"/>
      <c r="CE195" s="118"/>
    </row>
    <row r="196" spans="1:83" s="38" customFormat="1" ht="14" hidden="1" x14ac:dyDescent="0.3">
      <c r="A196" s="37"/>
      <c r="B196" s="37"/>
      <c r="C196" s="41" t="s">
        <v>126</v>
      </c>
      <c r="D196" s="145" t="str">
        <f t="shared" si="93"/>
        <v>Prioritaire</v>
      </c>
      <c r="E196" s="164">
        <f t="shared" si="94"/>
        <v>-5000</v>
      </c>
      <c r="F196" s="164">
        <f t="shared" ca="1" si="95"/>
        <v>7870</v>
      </c>
      <c r="G196" s="164">
        <f t="shared" ref="G196:Y196" ca="1" si="105">G138+G167</f>
        <v>8288.5</v>
      </c>
      <c r="H196" s="164">
        <f t="shared" ca="1" si="105"/>
        <v>8727.9250000000011</v>
      </c>
      <c r="I196" s="164">
        <f t="shared" ca="1" si="105"/>
        <v>9189.3212500000009</v>
      </c>
      <c r="J196" s="164">
        <f t="shared" ca="1" si="105"/>
        <v>9673.7873125000024</v>
      </c>
      <c r="K196" s="164">
        <f t="shared" ca="1" si="105"/>
        <v>10182.476678125004</v>
      </c>
      <c r="L196" s="164">
        <f t="shared" ca="1" si="105"/>
        <v>10716.600512031253</v>
      </c>
      <c r="M196" s="164">
        <f t="shared" ca="1" si="105"/>
        <v>11277.430537632816</v>
      </c>
      <c r="N196" s="164">
        <f t="shared" ca="1" si="105"/>
        <v>11866.302064514457</v>
      </c>
      <c r="O196" s="164">
        <f t="shared" ca="1" si="105"/>
        <v>12484.617167740182</v>
      </c>
      <c r="P196" s="164">
        <f t="shared" ca="1" si="105"/>
        <v>13133.848026127189</v>
      </c>
      <c r="Q196" s="164">
        <f t="shared" ca="1" si="105"/>
        <v>13815.540427433551</v>
      </c>
      <c r="R196" s="164">
        <f t="shared" ca="1" si="105"/>
        <v>14531.317448805228</v>
      </c>
      <c r="S196" s="164">
        <f t="shared" ca="1" si="105"/>
        <v>15282.88332124549</v>
      </c>
      <c r="T196" s="164">
        <f t="shared" ca="1" si="105"/>
        <v>16072.027487307765</v>
      </c>
      <c r="U196" s="164">
        <f t="shared" ca="1" si="105"/>
        <v>16900.628861673158</v>
      </c>
      <c r="V196" s="164">
        <f t="shared" ca="1" si="105"/>
        <v>17770.660304756817</v>
      </c>
      <c r="W196" s="164">
        <f t="shared" ca="1" si="105"/>
        <v>18684.193319994658</v>
      </c>
      <c r="X196" s="164">
        <f t="shared" ca="1" si="105"/>
        <v>19643.402985994391</v>
      </c>
      <c r="Y196" s="164">
        <f t="shared" ca="1" si="105"/>
        <v>20650.573135294111</v>
      </c>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97"/>
      <c r="BA196" s="197"/>
      <c r="BB196" s="197"/>
      <c r="BC196" s="197"/>
      <c r="BD196" s="197"/>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118"/>
      <c r="CE196" s="118"/>
    </row>
    <row r="197" spans="1:83" s="38" customFormat="1" ht="14" hidden="1" x14ac:dyDescent="0.3">
      <c r="A197" s="37"/>
      <c r="B197" s="37"/>
      <c r="C197" s="41" t="s">
        <v>284</v>
      </c>
      <c r="D197" s="145" t="str">
        <f t="shared" si="93"/>
        <v>Très ambitieux</v>
      </c>
      <c r="E197" s="164">
        <f t="shared" si="94"/>
        <v>-89000</v>
      </c>
      <c r="F197" s="164">
        <f t="shared" ca="1" si="95"/>
        <v>8788.5</v>
      </c>
      <c r="G197" s="164">
        <f t="shared" ref="G197:Y197" ca="1" si="106">G139+G168</f>
        <v>9227.9250000000011</v>
      </c>
      <c r="H197" s="164">
        <f t="shared" ca="1" si="106"/>
        <v>9689.3212500000009</v>
      </c>
      <c r="I197" s="164">
        <f t="shared" ca="1" si="106"/>
        <v>10173.787312500001</v>
      </c>
      <c r="J197" s="164">
        <f t="shared" ca="1" si="106"/>
        <v>10682.476678125002</v>
      </c>
      <c r="K197" s="164">
        <f t="shared" ca="1" si="106"/>
        <v>11216.600512031253</v>
      </c>
      <c r="L197" s="164">
        <f t="shared" ca="1" si="106"/>
        <v>11777.430537632816</v>
      </c>
      <c r="M197" s="164">
        <f t="shared" ca="1" si="106"/>
        <v>12366.302064514457</v>
      </c>
      <c r="N197" s="164">
        <f t="shared" ca="1" si="106"/>
        <v>12984.61716774018</v>
      </c>
      <c r="O197" s="164">
        <f t="shared" ca="1" si="106"/>
        <v>13633.848026127191</v>
      </c>
      <c r="P197" s="164">
        <f t="shared" ca="1" si="106"/>
        <v>14315.540427433549</v>
      </c>
      <c r="Q197" s="164">
        <f t="shared" ca="1" si="106"/>
        <v>15031.317448805228</v>
      </c>
      <c r="R197" s="164">
        <f t="shared" ca="1" si="106"/>
        <v>15782.88332124549</v>
      </c>
      <c r="S197" s="164">
        <f t="shared" ca="1" si="106"/>
        <v>16572.027487307765</v>
      </c>
      <c r="T197" s="164">
        <f t="shared" ca="1" si="106"/>
        <v>17400.628861673154</v>
      </c>
      <c r="U197" s="164">
        <f t="shared" ca="1" si="106"/>
        <v>18270.660304756813</v>
      </c>
      <c r="V197" s="164">
        <f t="shared" ca="1" si="106"/>
        <v>19184.193319994658</v>
      </c>
      <c r="W197" s="164">
        <f t="shared" ca="1" si="106"/>
        <v>20143.402985994391</v>
      </c>
      <c r="X197" s="164">
        <f t="shared" ca="1" si="106"/>
        <v>21150.573135294111</v>
      </c>
      <c r="Y197" s="164">
        <f t="shared" ca="1" si="106"/>
        <v>22208.101792058816</v>
      </c>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97"/>
      <c r="BA197" s="197"/>
      <c r="BB197" s="197"/>
      <c r="BC197" s="197"/>
      <c r="BD197" s="197"/>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118"/>
      <c r="CE197" s="118"/>
    </row>
    <row r="198" spans="1:83" s="38" customFormat="1" ht="14" hidden="1" x14ac:dyDescent="0.3">
      <c r="A198" s="37"/>
      <c r="B198" s="37"/>
      <c r="C198" s="41" t="s">
        <v>285</v>
      </c>
      <c r="D198" s="145" t="str">
        <f t="shared" si="93"/>
        <v>Très ambitieux</v>
      </c>
      <c r="E198" s="164">
        <f t="shared" si="94"/>
        <v>-82000</v>
      </c>
      <c r="F198" s="164">
        <f t="shared" ca="1" si="95"/>
        <v>17577</v>
      </c>
      <c r="G198" s="164">
        <f t="shared" ref="G198:Y198" ca="1" si="107">G140+G169</f>
        <v>18455.850000000002</v>
      </c>
      <c r="H198" s="164">
        <f t="shared" ca="1" si="107"/>
        <v>19378.642500000002</v>
      </c>
      <c r="I198" s="164">
        <f t="shared" ca="1" si="107"/>
        <v>20347.574625000001</v>
      </c>
      <c r="J198" s="164">
        <f t="shared" ca="1" si="107"/>
        <v>21364.953356250004</v>
      </c>
      <c r="K198" s="164">
        <f t="shared" ca="1" si="107"/>
        <v>22433.201024062506</v>
      </c>
      <c r="L198" s="164">
        <f t="shared" ca="1" si="107"/>
        <v>23554.861075265631</v>
      </c>
      <c r="M198" s="164">
        <f t="shared" ca="1" si="107"/>
        <v>24732.604129028914</v>
      </c>
      <c r="N198" s="164">
        <f t="shared" ca="1" si="107"/>
        <v>25969.23433548036</v>
      </c>
      <c r="O198" s="164">
        <f t="shared" ca="1" si="107"/>
        <v>27267.696052254381</v>
      </c>
      <c r="P198" s="164">
        <f t="shared" ca="1" si="107"/>
        <v>28631.080854867098</v>
      </c>
      <c r="Q198" s="164">
        <f t="shared" ca="1" si="107"/>
        <v>30062.634897610456</v>
      </c>
      <c r="R198" s="164">
        <f t="shared" ca="1" si="107"/>
        <v>31565.76664249098</v>
      </c>
      <c r="S198" s="164">
        <f t="shared" ca="1" si="107"/>
        <v>33144.05497461553</v>
      </c>
      <c r="T198" s="164">
        <f t="shared" ca="1" si="107"/>
        <v>34801.257723346309</v>
      </c>
      <c r="U198" s="164">
        <f t="shared" ca="1" si="107"/>
        <v>36541.320609513627</v>
      </c>
      <c r="V198" s="164">
        <f t="shared" ca="1" si="107"/>
        <v>38368.386639989316</v>
      </c>
      <c r="W198" s="164">
        <f t="shared" ca="1" si="107"/>
        <v>40286.805971988782</v>
      </c>
      <c r="X198" s="164">
        <f t="shared" ca="1" si="107"/>
        <v>42301.146270588222</v>
      </c>
      <c r="Y198" s="164">
        <f t="shared" ca="1" si="107"/>
        <v>44416.203584117633</v>
      </c>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97"/>
      <c r="BA198" s="197"/>
      <c r="BB198" s="197"/>
      <c r="BC198" s="197"/>
      <c r="BD198" s="197"/>
      <c r="BE198" s="60"/>
      <c r="BF198" s="60"/>
      <c r="BG198" s="60"/>
      <c r="BH198" s="60"/>
      <c r="BI198" s="60"/>
      <c r="BJ198" s="60"/>
      <c r="BK198" s="60"/>
      <c r="BL198" s="60"/>
      <c r="BM198" s="60"/>
      <c r="BN198" s="60"/>
      <c r="BO198" s="60"/>
      <c r="BP198" s="60"/>
      <c r="BQ198" s="60"/>
      <c r="BR198" s="60"/>
      <c r="BS198" s="60"/>
      <c r="BT198" s="60"/>
      <c r="BU198" s="60"/>
      <c r="BV198" s="60"/>
      <c r="BW198" s="60"/>
      <c r="BX198" s="60"/>
      <c r="BY198" s="60"/>
      <c r="BZ198" s="60"/>
      <c r="CA198" s="60"/>
      <c r="CB198" s="60"/>
      <c r="CC198" s="60"/>
      <c r="CD198" s="118"/>
      <c r="CE198" s="118"/>
    </row>
    <row r="199" spans="1:83" s="38" customFormat="1" ht="14" hidden="1" x14ac:dyDescent="0.3">
      <c r="A199" s="37"/>
      <c r="B199" s="37"/>
      <c r="C199" s="41" t="s">
        <v>286</v>
      </c>
      <c r="D199" s="145" t="str">
        <f t="shared" si="93"/>
        <v>Non priorisé</v>
      </c>
      <c r="E199" s="164">
        <f t="shared" si="94"/>
        <v>0</v>
      </c>
      <c r="F199" s="164">
        <f t="shared" ca="1" si="95"/>
        <v>2248.8888888888887</v>
      </c>
      <c r="G199" s="164">
        <f t="shared" ref="G199:Y199" ca="1" si="108">G141+G170</f>
        <v>2361.333333333333</v>
      </c>
      <c r="H199" s="164">
        <f t="shared" ca="1" si="108"/>
        <v>2479.3999999999996</v>
      </c>
      <c r="I199" s="164">
        <f t="shared" ca="1" si="108"/>
        <v>2603.37</v>
      </c>
      <c r="J199" s="164">
        <f t="shared" ca="1" si="108"/>
        <v>2733.5385000000001</v>
      </c>
      <c r="K199" s="164">
        <f t="shared" ca="1" si="108"/>
        <v>2870.2154250000003</v>
      </c>
      <c r="L199" s="164">
        <f t="shared" ca="1" si="108"/>
        <v>3013.7261962500006</v>
      </c>
      <c r="M199" s="164">
        <f t="shared" ca="1" si="108"/>
        <v>3164.4125060625006</v>
      </c>
      <c r="N199" s="164">
        <f t="shared" ca="1" si="108"/>
        <v>3322.633131365626</v>
      </c>
      <c r="O199" s="164">
        <f t="shared" ca="1" si="108"/>
        <v>3488.7647879339074</v>
      </c>
      <c r="P199" s="164">
        <f t="shared" ca="1" si="108"/>
        <v>3663.2030273306027</v>
      </c>
      <c r="Q199" s="164">
        <f t="shared" ca="1" si="108"/>
        <v>3846.3631786971328</v>
      </c>
      <c r="R199" s="164">
        <f t="shared" ca="1" si="108"/>
        <v>4038.6813376319901</v>
      </c>
      <c r="S199" s="164">
        <f t="shared" ca="1" si="108"/>
        <v>4240.61540451359</v>
      </c>
      <c r="T199" s="164">
        <f t="shared" ca="1" si="108"/>
        <v>4452.6461747392696</v>
      </c>
      <c r="U199" s="164">
        <f t="shared" ca="1" si="108"/>
        <v>4675.2784834762333</v>
      </c>
      <c r="V199" s="164">
        <f t="shared" ca="1" si="108"/>
        <v>4909.0424076500458</v>
      </c>
      <c r="W199" s="164">
        <f t="shared" ca="1" si="108"/>
        <v>5154.4945280325483</v>
      </c>
      <c r="X199" s="164">
        <f t="shared" ca="1" si="108"/>
        <v>5412.2192544341751</v>
      </c>
      <c r="Y199" s="164">
        <f t="shared" ca="1" si="108"/>
        <v>5682.8302171558844</v>
      </c>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97"/>
      <c r="BA199" s="197"/>
      <c r="BB199" s="197"/>
      <c r="BC199" s="197"/>
      <c r="BD199" s="197"/>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118"/>
      <c r="CE199" s="118"/>
    </row>
    <row r="200" spans="1:83" s="38" customFormat="1" ht="14" hidden="1" x14ac:dyDescent="0.3">
      <c r="A200" s="37"/>
      <c r="B200" s="37"/>
      <c r="C200" s="41" t="s">
        <v>287</v>
      </c>
      <c r="D200" s="145">
        <f t="shared" si="93"/>
        <v>0</v>
      </c>
      <c r="E200" s="164">
        <f t="shared" si="94"/>
        <v>0</v>
      </c>
      <c r="F200" s="164">
        <f t="shared" ca="1" si="95"/>
        <v>0</v>
      </c>
      <c r="G200" s="164">
        <f t="shared" ref="G200:Y200" ca="1" si="109">G142+G171</f>
        <v>0</v>
      </c>
      <c r="H200" s="164">
        <f t="shared" ca="1" si="109"/>
        <v>0</v>
      </c>
      <c r="I200" s="164">
        <f t="shared" ca="1" si="109"/>
        <v>0</v>
      </c>
      <c r="J200" s="164">
        <f t="shared" ca="1" si="109"/>
        <v>0</v>
      </c>
      <c r="K200" s="164">
        <f t="shared" ca="1" si="109"/>
        <v>0</v>
      </c>
      <c r="L200" s="164">
        <f t="shared" ca="1" si="109"/>
        <v>0</v>
      </c>
      <c r="M200" s="164">
        <f t="shared" ca="1" si="109"/>
        <v>0</v>
      </c>
      <c r="N200" s="164">
        <f t="shared" ca="1" si="109"/>
        <v>0</v>
      </c>
      <c r="O200" s="164">
        <f t="shared" ca="1" si="109"/>
        <v>0</v>
      </c>
      <c r="P200" s="164">
        <f t="shared" ca="1" si="109"/>
        <v>0</v>
      </c>
      <c r="Q200" s="164">
        <f t="shared" ca="1" si="109"/>
        <v>0</v>
      </c>
      <c r="R200" s="164">
        <f t="shared" ca="1" si="109"/>
        <v>0</v>
      </c>
      <c r="S200" s="164">
        <f t="shared" ca="1" si="109"/>
        <v>0</v>
      </c>
      <c r="T200" s="164">
        <f t="shared" ca="1" si="109"/>
        <v>0</v>
      </c>
      <c r="U200" s="164">
        <f t="shared" ca="1" si="109"/>
        <v>0</v>
      </c>
      <c r="V200" s="164">
        <f t="shared" ca="1" si="109"/>
        <v>0</v>
      </c>
      <c r="W200" s="164">
        <f t="shared" ca="1" si="109"/>
        <v>0</v>
      </c>
      <c r="X200" s="164">
        <f t="shared" ca="1" si="109"/>
        <v>0</v>
      </c>
      <c r="Y200" s="164">
        <f t="shared" ca="1" si="109"/>
        <v>0</v>
      </c>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97"/>
      <c r="BA200" s="197"/>
      <c r="BB200" s="197"/>
      <c r="BC200" s="197"/>
      <c r="BD200" s="197"/>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118"/>
      <c r="CE200" s="118"/>
    </row>
    <row r="201" spans="1:83" s="38" customFormat="1" ht="14" hidden="1" x14ac:dyDescent="0.3">
      <c r="A201" s="37"/>
      <c r="B201" s="37"/>
      <c r="C201" s="41" t="s">
        <v>288</v>
      </c>
      <c r="D201" s="145">
        <f t="shared" si="93"/>
        <v>0</v>
      </c>
      <c r="E201" s="164">
        <f t="shared" si="94"/>
        <v>0</v>
      </c>
      <c r="F201" s="164">
        <f t="shared" ca="1" si="95"/>
        <v>0</v>
      </c>
      <c r="G201" s="164">
        <f t="shared" ref="G201:Y201" ca="1" si="110">G143+G172</f>
        <v>0</v>
      </c>
      <c r="H201" s="164">
        <f t="shared" ca="1" si="110"/>
        <v>0</v>
      </c>
      <c r="I201" s="164">
        <f t="shared" ca="1" si="110"/>
        <v>0</v>
      </c>
      <c r="J201" s="164">
        <f t="shared" ca="1" si="110"/>
        <v>0</v>
      </c>
      <c r="K201" s="164">
        <f t="shared" ca="1" si="110"/>
        <v>0</v>
      </c>
      <c r="L201" s="164">
        <f t="shared" ca="1" si="110"/>
        <v>0</v>
      </c>
      <c r="M201" s="164">
        <f t="shared" ca="1" si="110"/>
        <v>0</v>
      </c>
      <c r="N201" s="164">
        <f t="shared" ca="1" si="110"/>
        <v>0</v>
      </c>
      <c r="O201" s="164">
        <f t="shared" ca="1" si="110"/>
        <v>0</v>
      </c>
      <c r="P201" s="164">
        <f t="shared" ca="1" si="110"/>
        <v>0</v>
      </c>
      <c r="Q201" s="164">
        <f t="shared" ca="1" si="110"/>
        <v>0</v>
      </c>
      <c r="R201" s="164">
        <f t="shared" ca="1" si="110"/>
        <v>0</v>
      </c>
      <c r="S201" s="164">
        <f t="shared" ca="1" si="110"/>
        <v>0</v>
      </c>
      <c r="T201" s="164">
        <f t="shared" ca="1" si="110"/>
        <v>0</v>
      </c>
      <c r="U201" s="164">
        <f t="shared" ca="1" si="110"/>
        <v>0</v>
      </c>
      <c r="V201" s="164">
        <f t="shared" ca="1" si="110"/>
        <v>0</v>
      </c>
      <c r="W201" s="164">
        <f t="shared" ca="1" si="110"/>
        <v>0</v>
      </c>
      <c r="X201" s="164">
        <f t="shared" ca="1" si="110"/>
        <v>0</v>
      </c>
      <c r="Y201" s="164">
        <f t="shared" ca="1" si="110"/>
        <v>0</v>
      </c>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97"/>
      <c r="BA201" s="197"/>
      <c r="BB201" s="197"/>
      <c r="BC201" s="197"/>
      <c r="BD201" s="197"/>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118"/>
      <c r="CE201" s="118"/>
    </row>
    <row r="202" spans="1:83" s="38" customFormat="1" ht="14" hidden="1" x14ac:dyDescent="0.3">
      <c r="A202" s="37"/>
      <c r="B202" s="37"/>
      <c r="C202" s="41" t="s">
        <v>289</v>
      </c>
      <c r="D202" s="145">
        <f t="shared" si="93"/>
        <v>0</v>
      </c>
      <c r="E202" s="164">
        <f t="shared" si="94"/>
        <v>0</v>
      </c>
      <c r="F202" s="164">
        <f t="shared" ca="1" si="95"/>
        <v>0</v>
      </c>
      <c r="G202" s="164">
        <f t="shared" ref="G202:Y202" ca="1" si="111">G144+G173</f>
        <v>0</v>
      </c>
      <c r="H202" s="164">
        <f t="shared" ca="1" si="111"/>
        <v>0</v>
      </c>
      <c r="I202" s="164">
        <f t="shared" ca="1" si="111"/>
        <v>0</v>
      </c>
      <c r="J202" s="164">
        <f t="shared" ca="1" si="111"/>
        <v>0</v>
      </c>
      <c r="K202" s="164">
        <f t="shared" ca="1" si="111"/>
        <v>0</v>
      </c>
      <c r="L202" s="164">
        <f t="shared" ca="1" si="111"/>
        <v>0</v>
      </c>
      <c r="M202" s="164">
        <f t="shared" ca="1" si="111"/>
        <v>0</v>
      </c>
      <c r="N202" s="164">
        <f t="shared" ca="1" si="111"/>
        <v>0</v>
      </c>
      <c r="O202" s="164">
        <f t="shared" ca="1" si="111"/>
        <v>0</v>
      </c>
      <c r="P202" s="164">
        <f t="shared" ca="1" si="111"/>
        <v>0</v>
      </c>
      <c r="Q202" s="164">
        <f t="shared" ca="1" si="111"/>
        <v>0</v>
      </c>
      <c r="R202" s="164">
        <f t="shared" ca="1" si="111"/>
        <v>0</v>
      </c>
      <c r="S202" s="164">
        <f t="shared" ca="1" si="111"/>
        <v>0</v>
      </c>
      <c r="T202" s="164">
        <f t="shared" ca="1" si="111"/>
        <v>0</v>
      </c>
      <c r="U202" s="164">
        <f t="shared" ca="1" si="111"/>
        <v>0</v>
      </c>
      <c r="V202" s="164">
        <f t="shared" ca="1" si="111"/>
        <v>0</v>
      </c>
      <c r="W202" s="164">
        <f t="shared" ca="1" si="111"/>
        <v>0</v>
      </c>
      <c r="X202" s="164">
        <f t="shared" ca="1" si="111"/>
        <v>0</v>
      </c>
      <c r="Y202" s="164">
        <f t="shared" ca="1" si="111"/>
        <v>0</v>
      </c>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97"/>
      <c r="BA202" s="197"/>
      <c r="BB202" s="197"/>
      <c r="BC202" s="197"/>
      <c r="BD202" s="197"/>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118"/>
      <c r="CE202" s="118"/>
    </row>
    <row r="203" spans="1:83" s="38" customFormat="1" ht="14" hidden="1" x14ac:dyDescent="0.3">
      <c r="A203" s="37"/>
      <c r="B203" s="37"/>
      <c r="C203" s="41" t="s">
        <v>290</v>
      </c>
      <c r="D203" s="145">
        <f t="shared" si="93"/>
        <v>0</v>
      </c>
      <c r="E203" s="164">
        <f t="shared" si="94"/>
        <v>0</v>
      </c>
      <c r="F203" s="164">
        <f t="shared" ca="1" si="95"/>
        <v>0</v>
      </c>
      <c r="G203" s="164">
        <f t="shared" ref="G203:Y203" ca="1" si="112">G145+G174</f>
        <v>0</v>
      </c>
      <c r="H203" s="164">
        <f t="shared" ca="1" si="112"/>
        <v>0</v>
      </c>
      <c r="I203" s="164">
        <f t="shared" ca="1" si="112"/>
        <v>0</v>
      </c>
      <c r="J203" s="164">
        <f t="shared" ca="1" si="112"/>
        <v>0</v>
      </c>
      <c r="K203" s="164">
        <f t="shared" ca="1" si="112"/>
        <v>0</v>
      </c>
      <c r="L203" s="164">
        <f t="shared" ca="1" si="112"/>
        <v>0</v>
      </c>
      <c r="M203" s="164">
        <f t="shared" ca="1" si="112"/>
        <v>0</v>
      </c>
      <c r="N203" s="164">
        <f t="shared" ca="1" si="112"/>
        <v>0</v>
      </c>
      <c r="O203" s="164">
        <f t="shared" ca="1" si="112"/>
        <v>0</v>
      </c>
      <c r="P203" s="164">
        <f t="shared" ca="1" si="112"/>
        <v>0</v>
      </c>
      <c r="Q203" s="164">
        <f t="shared" ca="1" si="112"/>
        <v>0</v>
      </c>
      <c r="R203" s="164">
        <f t="shared" ca="1" si="112"/>
        <v>0</v>
      </c>
      <c r="S203" s="164">
        <f t="shared" ca="1" si="112"/>
        <v>0</v>
      </c>
      <c r="T203" s="164">
        <f t="shared" ca="1" si="112"/>
        <v>0</v>
      </c>
      <c r="U203" s="164">
        <f t="shared" ca="1" si="112"/>
        <v>0</v>
      </c>
      <c r="V203" s="164">
        <f t="shared" ca="1" si="112"/>
        <v>0</v>
      </c>
      <c r="W203" s="164">
        <f t="shared" ca="1" si="112"/>
        <v>0</v>
      </c>
      <c r="X203" s="164">
        <f t="shared" ca="1" si="112"/>
        <v>0</v>
      </c>
      <c r="Y203" s="164">
        <f t="shared" ca="1" si="112"/>
        <v>0</v>
      </c>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97"/>
      <c r="BA203" s="197"/>
      <c r="BB203" s="197"/>
      <c r="BC203" s="197"/>
      <c r="BD203" s="197"/>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118"/>
      <c r="CE203" s="118"/>
    </row>
    <row r="204" spans="1:83" s="38" customFormat="1" ht="14" hidden="1" x14ac:dyDescent="0.3">
      <c r="A204" s="37"/>
      <c r="B204" s="37"/>
      <c r="C204" s="41" t="s">
        <v>291</v>
      </c>
      <c r="D204" s="145">
        <f t="shared" si="93"/>
        <v>0</v>
      </c>
      <c r="E204" s="164">
        <f t="shared" si="94"/>
        <v>0</v>
      </c>
      <c r="F204" s="164">
        <f t="shared" ca="1" si="95"/>
        <v>0</v>
      </c>
      <c r="G204" s="164">
        <f t="shared" ref="G204:Y204" ca="1" si="113">G146+G175</f>
        <v>0</v>
      </c>
      <c r="H204" s="164">
        <f t="shared" ca="1" si="113"/>
        <v>0</v>
      </c>
      <c r="I204" s="164">
        <f t="shared" ca="1" si="113"/>
        <v>0</v>
      </c>
      <c r="J204" s="164">
        <f t="shared" ca="1" si="113"/>
        <v>0</v>
      </c>
      <c r="K204" s="164">
        <f t="shared" ca="1" si="113"/>
        <v>0</v>
      </c>
      <c r="L204" s="164">
        <f t="shared" ca="1" si="113"/>
        <v>0</v>
      </c>
      <c r="M204" s="164">
        <f t="shared" ca="1" si="113"/>
        <v>0</v>
      </c>
      <c r="N204" s="164">
        <f t="shared" ca="1" si="113"/>
        <v>0</v>
      </c>
      <c r="O204" s="164">
        <f t="shared" ca="1" si="113"/>
        <v>0</v>
      </c>
      <c r="P204" s="164">
        <f t="shared" ca="1" si="113"/>
        <v>0</v>
      </c>
      <c r="Q204" s="164">
        <f t="shared" ca="1" si="113"/>
        <v>0</v>
      </c>
      <c r="R204" s="164">
        <f t="shared" ca="1" si="113"/>
        <v>0</v>
      </c>
      <c r="S204" s="164">
        <f t="shared" ca="1" si="113"/>
        <v>0</v>
      </c>
      <c r="T204" s="164">
        <f t="shared" ca="1" si="113"/>
        <v>0</v>
      </c>
      <c r="U204" s="164">
        <f t="shared" ca="1" si="113"/>
        <v>0</v>
      </c>
      <c r="V204" s="164">
        <f t="shared" ca="1" si="113"/>
        <v>0</v>
      </c>
      <c r="W204" s="164">
        <f t="shared" ca="1" si="113"/>
        <v>0</v>
      </c>
      <c r="X204" s="164">
        <f t="shared" ca="1" si="113"/>
        <v>0</v>
      </c>
      <c r="Y204" s="164">
        <f t="shared" ca="1" si="113"/>
        <v>0</v>
      </c>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97"/>
      <c r="BA204" s="197"/>
      <c r="BB204" s="197"/>
      <c r="BC204" s="197"/>
      <c r="BD204" s="197"/>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118"/>
      <c r="CE204" s="118"/>
    </row>
    <row r="205" spans="1:83" s="38" customFormat="1" ht="14" hidden="1" x14ac:dyDescent="0.3">
      <c r="A205" s="37"/>
      <c r="B205" s="37"/>
      <c r="C205" s="41" t="s">
        <v>292</v>
      </c>
      <c r="D205" s="145">
        <f t="shared" si="93"/>
        <v>0</v>
      </c>
      <c r="E205" s="164">
        <f t="shared" si="94"/>
        <v>0</v>
      </c>
      <c r="F205" s="164">
        <f t="shared" ca="1" si="95"/>
        <v>0</v>
      </c>
      <c r="G205" s="164">
        <f t="shared" ref="G205:Y205" ca="1" si="114">G147+G176</f>
        <v>0</v>
      </c>
      <c r="H205" s="164">
        <f t="shared" ca="1" si="114"/>
        <v>0</v>
      </c>
      <c r="I205" s="164">
        <f t="shared" ca="1" si="114"/>
        <v>0</v>
      </c>
      <c r="J205" s="164">
        <f t="shared" ca="1" si="114"/>
        <v>0</v>
      </c>
      <c r="K205" s="164">
        <f t="shared" ca="1" si="114"/>
        <v>0</v>
      </c>
      <c r="L205" s="164">
        <f t="shared" ca="1" si="114"/>
        <v>0</v>
      </c>
      <c r="M205" s="164">
        <f t="shared" ca="1" si="114"/>
        <v>0</v>
      </c>
      <c r="N205" s="164">
        <f t="shared" ca="1" si="114"/>
        <v>0</v>
      </c>
      <c r="O205" s="164">
        <f t="shared" ca="1" si="114"/>
        <v>0</v>
      </c>
      <c r="P205" s="164">
        <f t="shared" ca="1" si="114"/>
        <v>0</v>
      </c>
      <c r="Q205" s="164">
        <f t="shared" ca="1" si="114"/>
        <v>0</v>
      </c>
      <c r="R205" s="164">
        <f t="shared" ca="1" si="114"/>
        <v>0</v>
      </c>
      <c r="S205" s="164">
        <f t="shared" ca="1" si="114"/>
        <v>0</v>
      </c>
      <c r="T205" s="164">
        <f t="shared" ca="1" si="114"/>
        <v>0</v>
      </c>
      <c r="U205" s="164">
        <f t="shared" ca="1" si="114"/>
        <v>0</v>
      </c>
      <c r="V205" s="164">
        <f t="shared" ca="1" si="114"/>
        <v>0</v>
      </c>
      <c r="W205" s="164">
        <f t="shared" ca="1" si="114"/>
        <v>0</v>
      </c>
      <c r="X205" s="164">
        <f t="shared" ca="1" si="114"/>
        <v>0</v>
      </c>
      <c r="Y205" s="164">
        <f t="shared" ca="1" si="114"/>
        <v>0</v>
      </c>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97"/>
      <c r="BA205" s="197"/>
      <c r="BB205" s="197"/>
      <c r="BC205" s="197"/>
      <c r="BD205" s="197"/>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118"/>
      <c r="CE205" s="118"/>
    </row>
    <row r="206" spans="1:83" s="38" customFormat="1" ht="14" hidden="1" x14ac:dyDescent="0.3">
      <c r="A206" s="37"/>
      <c r="B206" s="37"/>
      <c r="C206" s="41" t="s">
        <v>293</v>
      </c>
      <c r="D206" s="145">
        <f t="shared" si="93"/>
        <v>0</v>
      </c>
      <c r="E206" s="164">
        <f t="shared" si="94"/>
        <v>0</v>
      </c>
      <c r="F206" s="164">
        <f t="shared" ca="1" si="95"/>
        <v>0</v>
      </c>
      <c r="G206" s="164">
        <f t="shared" ref="G206:Y206" ca="1" si="115">G148+G177</f>
        <v>0</v>
      </c>
      <c r="H206" s="164">
        <f t="shared" ca="1" si="115"/>
        <v>0</v>
      </c>
      <c r="I206" s="164">
        <f t="shared" ca="1" si="115"/>
        <v>0</v>
      </c>
      <c r="J206" s="164">
        <f t="shared" ca="1" si="115"/>
        <v>0</v>
      </c>
      <c r="K206" s="164">
        <f t="shared" ca="1" si="115"/>
        <v>0</v>
      </c>
      <c r="L206" s="164">
        <f t="shared" ca="1" si="115"/>
        <v>0</v>
      </c>
      <c r="M206" s="164">
        <f t="shared" ca="1" si="115"/>
        <v>0</v>
      </c>
      <c r="N206" s="164">
        <f t="shared" ca="1" si="115"/>
        <v>0</v>
      </c>
      <c r="O206" s="164">
        <f t="shared" ca="1" si="115"/>
        <v>0</v>
      </c>
      <c r="P206" s="164">
        <f t="shared" ca="1" si="115"/>
        <v>0</v>
      </c>
      <c r="Q206" s="164">
        <f t="shared" ca="1" si="115"/>
        <v>0</v>
      </c>
      <c r="R206" s="164">
        <f t="shared" ca="1" si="115"/>
        <v>0</v>
      </c>
      <c r="S206" s="164">
        <f t="shared" ca="1" si="115"/>
        <v>0</v>
      </c>
      <c r="T206" s="164">
        <f t="shared" ca="1" si="115"/>
        <v>0</v>
      </c>
      <c r="U206" s="164">
        <f t="shared" ca="1" si="115"/>
        <v>0</v>
      </c>
      <c r="V206" s="164">
        <f t="shared" ca="1" si="115"/>
        <v>0</v>
      </c>
      <c r="W206" s="164">
        <f t="shared" ca="1" si="115"/>
        <v>0</v>
      </c>
      <c r="X206" s="164">
        <f t="shared" ca="1" si="115"/>
        <v>0</v>
      </c>
      <c r="Y206" s="164">
        <f t="shared" ca="1" si="115"/>
        <v>0</v>
      </c>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97"/>
      <c r="BA206" s="197"/>
      <c r="BB206" s="197"/>
      <c r="BC206" s="197"/>
      <c r="BD206" s="197"/>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118"/>
      <c r="CE206" s="118"/>
    </row>
    <row r="207" spans="1:83" s="141" customFormat="1" ht="14" hidden="1" x14ac:dyDescent="0.3">
      <c r="A207" s="37"/>
      <c r="B207" s="37"/>
      <c r="C207" s="143" t="s">
        <v>108</v>
      </c>
      <c r="D207" s="143" t="s">
        <v>108</v>
      </c>
      <c r="E207" s="166">
        <f>SUM(E187:E206)</f>
        <v>-568900</v>
      </c>
      <c r="F207" s="166">
        <f ca="1">SUM(F187:F206)</f>
        <v>195809.25555555552</v>
      </c>
      <c r="G207" s="166">
        <f t="shared" ref="G207:Y207" ca="1" si="116">SUM(G187:G206)</f>
        <v>205799.71833333335</v>
      </c>
      <c r="H207" s="166">
        <f t="shared" ca="1" si="116"/>
        <v>216289.70424999998</v>
      </c>
      <c r="I207" s="166">
        <f t="shared" ca="1" si="116"/>
        <v>227304.18946250001</v>
      </c>
      <c r="J207" s="166">
        <f t="shared" ca="1" si="116"/>
        <v>238869.39893562504</v>
      </c>
      <c r="K207" s="166">
        <f t="shared" ca="1" si="116"/>
        <v>251012.8688824063</v>
      </c>
      <c r="L207" s="166">
        <f t="shared" ca="1" si="116"/>
        <v>263763.51232652657</v>
      </c>
      <c r="M207" s="166">
        <f t="shared" ca="1" si="116"/>
        <v>277151.68794285296</v>
      </c>
      <c r="N207" s="166">
        <f t="shared" ca="1" si="116"/>
        <v>291209.2723399956</v>
      </c>
      <c r="O207" s="166">
        <f t="shared" ca="1" si="116"/>
        <v>305969.7359569954</v>
      </c>
      <c r="P207" s="166">
        <f t="shared" ca="1" si="116"/>
        <v>321468.22275484528</v>
      </c>
      <c r="Q207" s="166">
        <f t="shared" ca="1" si="116"/>
        <v>337741.63389258744</v>
      </c>
      <c r="R207" s="166">
        <f t="shared" ca="1" si="116"/>
        <v>354828.71558721684</v>
      </c>
      <c r="S207" s="166">
        <f t="shared" ca="1" si="116"/>
        <v>372770.15136657777</v>
      </c>
      <c r="T207" s="166">
        <f t="shared" ca="1" si="116"/>
        <v>391608.65893490671</v>
      </c>
      <c r="U207" s="166">
        <f t="shared" ca="1" si="116"/>
        <v>411389.09188165207</v>
      </c>
      <c r="V207" s="166">
        <f t="shared" ca="1" si="116"/>
        <v>432158.54647573474</v>
      </c>
      <c r="W207" s="166">
        <f t="shared" ca="1" si="116"/>
        <v>453966.47379952145</v>
      </c>
      <c r="X207" s="166">
        <f t="shared" ca="1" si="116"/>
        <v>476864.79748949746</v>
      </c>
      <c r="Y207" s="166">
        <f t="shared" ca="1" si="116"/>
        <v>500908.03736397234</v>
      </c>
      <c r="Z207" s="236"/>
      <c r="AA207" s="236"/>
      <c r="AB207" s="236"/>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236"/>
      <c r="AY207" s="236"/>
      <c r="AZ207" s="237"/>
      <c r="BA207" s="237"/>
      <c r="BB207" s="237"/>
      <c r="BC207" s="237"/>
      <c r="BD207" s="237"/>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236"/>
      <c r="CE207" s="236"/>
    </row>
    <row r="208" spans="1:83" s="38" customFormat="1" ht="14" hidden="1" x14ac:dyDescent="0.3">
      <c r="A208" s="37"/>
      <c r="B208" s="37"/>
      <c r="C208" s="142" t="s">
        <v>281</v>
      </c>
      <c r="D208" s="144" t="s">
        <v>281</v>
      </c>
      <c r="E208" s="166">
        <f t="shared" ref="E208:F211" si="117">SUMPRODUCT(($D$187:$D$206=$C208)*E$187:E$206)</f>
        <v>-111800</v>
      </c>
      <c r="F208" s="166">
        <f t="shared" ca="1" si="117"/>
        <v>97307.722222222219</v>
      </c>
      <c r="G208" s="166">
        <f t="shared" ref="G208:P211" ca="1" si="118">SUMPRODUCT(($D$187:$D$206=$C208)*G$187:G$206)</f>
        <v>102423.10833333334</v>
      </c>
      <c r="H208" s="166">
        <f t="shared" ca="1" si="118"/>
        <v>107794.26375</v>
      </c>
      <c r="I208" s="166">
        <f t="shared" ca="1" si="118"/>
        <v>113433.97693750003</v>
      </c>
      <c r="J208" s="166">
        <f t="shared" ca="1" si="118"/>
        <v>119355.67578437502</v>
      </c>
      <c r="K208" s="166">
        <f t="shared" ca="1" si="118"/>
        <v>125573.45957359381</v>
      </c>
      <c r="L208" s="166">
        <f t="shared" ca="1" si="118"/>
        <v>132102.13255227348</v>
      </c>
      <c r="M208" s="166">
        <f t="shared" ca="1" si="118"/>
        <v>138957.23917988714</v>
      </c>
      <c r="N208" s="166">
        <f t="shared" ca="1" si="118"/>
        <v>146155.10113888149</v>
      </c>
      <c r="O208" s="166">
        <f t="shared" ca="1" si="118"/>
        <v>153712.85619582562</v>
      </c>
      <c r="P208" s="166">
        <f t="shared" ca="1" si="118"/>
        <v>161648.49900561685</v>
      </c>
      <c r="Q208" s="166">
        <f t="shared" ref="Q208:Y211" ca="1" si="119">SUMPRODUCT(($D$187:$D$206=$C208)*Q$187:Q$206)</f>
        <v>169980.92395589774</v>
      </c>
      <c r="R208" s="166">
        <f t="shared" ca="1" si="119"/>
        <v>178729.97015369264</v>
      </c>
      <c r="S208" s="166">
        <f t="shared" ca="1" si="119"/>
        <v>187916.46866137726</v>
      </c>
      <c r="T208" s="166">
        <f t="shared" ca="1" si="119"/>
        <v>197562.29209444611</v>
      </c>
      <c r="U208" s="166">
        <f t="shared" ca="1" si="119"/>
        <v>207690.40669916847</v>
      </c>
      <c r="V208" s="166">
        <f t="shared" ca="1" si="119"/>
        <v>218324.92703412691</v>
      </c>
      <c r="W208" s="166">
        <f t="shared" ca="1" si="119"/>
        <v>229491.17338583327</v>
      </c>
      <c r="X208" s="166">
        <f t="shared" ca="1" si="119"/>
        <v>241215.73205512494</v>
      </c>
      <c r="Y208" s="166">
        <f t="shared" ca="1" si="119"/>
        <v>253526.51865788118</v>
      </c>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97"/>
      <c r="BA208" s="197"/>
      <c r="BB208" s="197"/>
      <c r="BC208" s="197"/>
      <c r="BD208" s="197"/>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118"/>
      <c r="CE208" s="118"/>
    </row>
    <row r="209" spans="1:83" s="38" customFormat="1" ht="14" hidden="1" x14ac:dyDescent="0.3">
      <c r="A209" s="37"/>
      <c r="B209" s="37"/>
      <c r="C209" s="41" t="s">
        <v>282</v>
      </c>
      <c r="D209" s="145" t="s">
        <v>282</v>
      </c>
      <c r="E209" s="164">
        <f t="shared" si="117"/>
        <v>-127100</v>
      </c>
      <c r="F209" s="164">
        <f t="shared" ca="1" si="117"/>
        <v>46204.444444444438</v>
      </c>
      <c r="G209" s="164">
        <f t="shared" ca="1" si="118"/>
        <v>48514.666666666672</v>
      </c>
      <c r="H209" s="164">
        <f t="shared" ca="1" si="118"/>
        <v>50940.399999999994</v>
      </c>
      <c r="I209" s="164">
        <f t="shared" ca="1" si="118"/>
        <v>53487.420000000006</v>
      </c>
      <c r="J209" s="164">
        <f t="shared" ca="1" si="118"/>
        <v>56161.791000000012</v>
      </c>
      <c r="K209" s="164">
        <f t="shared" ca="1" si="118"/>
        <v>58969.880550000016</v>
      </c>
      <c r="L209" s="164">
        <f t="shared" ca="1" si="118"/>
        <v>61918.374577500013</v>
      </c>
      <c r="M209" s="164">
        <f t="shared" ca="1" si="118"/>
        <v>65014.293306375024</v>
      </c>
      <c r="N209" s="164">
        <f t="shared" ca="1" si="118"/>
        <v>68265.007971693776</v>
      </c>
      <c r="O209" s="164">
        <f t="shared" ca="1" si="118"/>
        <v>71678.258370278461</v>
      </c>
      <c r="P209" s="164">
        <f t="shared" ca="1" si="118"/>
        <v>75262.171288792379</v>
      </c>
      <c r="Q209" s="164">
        <f t="shared" ca="1" si="119"/>
        <v>79025.279853232001</v>
      </c>
      <c r="R209" s="164">
        <f t="shared" ca="1" si="119"/>
        <v>82976.543845893611</v>
      </c>
      <c r="S209" s="164">
        <f t="shared" ca="1" si="119"/>
        <v>87125.371038188299</v>
      </c>
      <c r="T209" s="164">
        <f t="shared" ca="1" si="119"/>
        <v>91481.639590097722</v>
      </c>
      <c r="U209" s="164">
        <f t="shared" ca="1" si="119"/>
        <v>96055.721569602611</v>
      </c>
      <c r="V209" s="164">
        <f t="shared" ca="1" si="119"/>
        <v>100858.50764808274</v>
      </c>
      <c r="W209" s="164">
        <f t="shared" ca="1" si="119"/>
        <v>105901.43303048691</v>
      </c>
      <c r="X209" s="164">
        <f t="shared" ca="1" si="119"/>
        <v>111196.50468201123</v>
      </c>
      <c r="Y209" s="164">
        <f t="shared" ca="1" si="119"/>
        <v>116756.3299161118</v>
      </c>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97"/>
      <c r="BA209" s="197"/>
      <c r="BB209" s="197"/>
      <c r="BC209" s="197"/>
      <c r="BD209" s="197"/>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118"/>
      <c r="CE209" s="118"/>
    </row>
    <row r="210" spans="1:83" s="38" customFormat="1" ht="14" hidden="1" x14ac:dyDescent="0.3">
      <c r="A210" s="37"/>
      <c r="B210" s="37"/>
      <c r="C210" s="41" t="s">
        <v>283</v>
      </c>
      <c r="D210" s="145" t="s">
        <v>283</v>
      </c>
      <c r="E210" s="164">
        <f t="shared" si="117"/>
        <v>-330000</v>
      </c>
      <c r="F210" s="164">
        <f t="shared" ca="1" si="117"/>
        <v>50048.2</v>
      </c>
      <c r="G210" s="164">
        <f t="shared" ca="1" si="118"/>
        <v>52500.61</v>
      </c>
      <c r="H210" s="164">
        <f t="shared" ca="1" si="118"/>
        <v>55075.640500000001</v>
      </c>
      <c r="I210" s="164">
        <f t="shared" ca="1" si="118"/>
        <v>57779.422525000009</v>
      </c>
      <c r="J210" s="164">
        <f t="shared" ca="1" si="118"/>
        <v>60618.393651250008</v>
      </c>
      <c r="K210" s="164">
        <f t="shared" ca="1" si="118"/>
        <v>63599.313333812519</v>
      </c>
      <c r="L210" s="164">
        <f t="shared" ca="1" si="118"/>
        <v>66729.279000503157</v>
      </c>
      <c r="M210" s="164">
        <f t="shared" ca="1" si="118"/>
        <v>70015.742950528307</v>
      </c>
      <c r="N210" s="164">
        <f t="shared" ca="1" si="118"/>
        <v>73466.530098054718</v>
      </c>
      <c r="O210" s="164">
        <f t="shared" ca="1" si="118"/>
        <v>77089.856602957472</v>
      </c>
      <c r="P210" s="164">
        <f t="shared" ca="1" si="118"/>
        <v>80894.349433105323</v>
      </c>
      <c r="Q210" s="164">
        <f t="shared" ca="1" si="119"/>
        <v>84889.066904760606</v>
      </c>
      <c r="R210" s="164">
        <f t="shared" ca="1" si="119"/>
        <v>89083.520249998648</v>
      </c>
      <c r="S210" s="164">
        <f t="shared" ca="1" si="119"/>
        <v>93487.696262498575</v>
      </c>
      <c r="T210" s="164">
        <f t="shared" ca="1" si="119"/>
        <v>98112.081075623515</v>
      </c>
      <c r="U210" s="164">
        <f t="shared" ca="1" si="119"/>
        <v>102967.68512940469</v>
      </c>
      <c r="V210" s="164">
        <f t="shared" ca="1" si="119"/>
        <v>108066.06938587494</v>
      </c>
      <c r="W210" s="164">
        <f t="shared" ca="1" si="119"/>
        <v>113419.37285516869</v>
      </c>
      <c r="X210" s="164">
        <f t="shared" ca="1" si="119"/>
        <v>119040.34149792715</v>
      </c>
      <c r="Y210" s="164">
        <f t="shared" ca="1" si="119"/>
        <v>124942.35857282349</v>
      </c>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97"/>
      <c r="BA210" s="197"/>
      <c r="BB210" s="197"/>
      <c r="BC210" s="197"/>
      <c r="BD210" s="197"/>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118"/>
      <c r="CE210" s="118"/>
    </row>
    <row r="211" spans="1:83" s="38" customFormat="1" ht="14" hidden="1" x14ac:dyDescent="0.3">
      <c r="A211" s="37"/>
      <c r="B211" s="37"/>
      <c r="C211" s="41"/>
      <c r="D211" s="41" t="s">
        <v>296</v>
      </c>
      <c r="E211" s="164">
        <f t="shared" si="117"/>
        <v>0</v>
      </c>
      <c r="F211" s="164">
        <f t="shared" ca="1" si="117"/>
        <v>0</v>
      </c>
      <c r="G211" s="164">
        <f t="shared" ca="1" si="118"/>
        <v>0</v>
      </c>
      <c r="H211" s="164">
        <f t="shared" ca="1" si="118"/>
        <v>0</v>
      </c>
      <c r="I211" s="164">
        <f t="shared" ca="1" si="118"/>
        <v>0</v>
      </c>
      <c r="J211" s="164">
        <f t="shared" ca="1" si="118"/>
        <v>0</v>
      </c>
      <c r="K211" s="164">
        <f t="shared" ca="1" si="118"/>
        <v>0</v>
      </c>
      <c r="L211" s="164">
        <f t="shared" ca="1" si="118"/>
        <v>0</v>
      </c>
      <c r="M211" s="164">
        <f t="shared" ca="1" si="118"/>
        <v>0</v>
      </c>
      <c r="N211" s="164">
        <f t="shared" ca="1" si="118"/>
        <v>0</v>
      </c>
      <c r="O211" s="164">
        <f t="shared" ca="1" si="118"/>
        <v>0</v>
      </c>
      <c r="P211" s="164">
        <f t="shared" ca="1" si="118"/>
        <v>0</v>
      </c>
      <c r="Q211" s="164">
        <f t="shared" ca="1" si="119"/>
        <v>0</v>
      </c>
      <c r="R211" s="164">
        <f t="shared" ca="1" si="119"/>
        <v>0</v>
      </c>
      <c r="S211" s="164">
        <f t="shared" ca="1" si="119"/>
        <v>0</v>
      </c>
      <c r="T211" s="164">
        <f t="shared" ca="1" si="119"/>
        <v>0</v>
      </c>
      <c r="U211" s="164">
        <f t="shared" ca="1" si="119"/>
        <v>0</v>
      </c>
      <c r="V211" s="164">
        <f t="shared" ca="1" si="119"/>
        <v>0</v>
      </c>
      <c r="W211" s="164">
        <f t="shared" ca="1" si="119"/>
        <v>0</v>
      </c>
      <c r="X211" s="164">
        <f t="shared" ca="1" si="119"/>
        <v>0</v>
      </c>
      <c r="Y211" s="164">
        <f t="shared" ca="1" si="119"/>
        <v>0</v>
      </c>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97"/>
      <c r="BA211" s="197"/>
      <c r="BB211" s="197"/>
      <c r="BC211" s="197"/>
      <c r="BD211" s="197"/>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118"/>
      <c r="CE211" s="118"/>
    </row>
    <row r="212" spans="1:83" s="38" customFormat="1" ht="14" hidden="1" x14ac:dyDescent="0.3">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97"/>
      <c r="BA212" s="197"/>
      <c r="BB212" s="197"/>
      <c r="BC212" s="197"/>
      <c r="BD212" s="197"/>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118"/>
      <c r="CE212" s="118"/>
    </row>
    <row r="213" spans="1:83" s="38" customFormat="1" ht="14" hidden="1" x14ac:dyDescent="0.3">
      <c r="A213" s="37"/>
      <c r="B213" s="37"/>
      <c r="C213" s="37" t="s">
        <v>277</v>
      </c>
      <c r="D213" s="37"/>
      <c r="E213" s="37"/>
      <c r="F213" s="37"/>
      <c r="G213" s="37"/>
      <c r="H213" s="37"/>
      <c r="I213" s="37"/>
      <c r="J213" s="37"/>
      <c r="K213" s="37"/>
      <c r="L213" s="37"/>
      <c r="M213" s="37"/>
      <c r="N213" s="37"/>
      <c r="O213" s="37"/>
      <c r="P213" s="37"/>
      <c r="Q213" s="37"/>
      <c r="R213" s="37"/>
      <c r="S213" s="37"/>
      <c r="T213" s="37"/>
      <c r="U213" s="37"/>
      <c r="V213" s="37"/>
      <c r="W213" s="37"/>
      <c r="X213" s="37"/>
      <c r="Y213" s="37"/>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97"/>
      <c r="BA213" s="197"/>
      <c r="BB213" s="197"/>
      <c r="BC213" s="197"/>
      <c r="BD213" s="197"/>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118"/>
      <c r="CE213" s="118"/>
    </row>
    <row r="214" spans="1:83" s="38" customFormat="1" ht="14" hidden="1" x14ac:dyDescent="0.3">
      <c r="A214" s="37"/>
      <c r="B214" s="37"/>
      <c r="C214" s="37" t="s">
        <v>278</v>
      </c>
      <c r="D214" s="37"/>
      <c r="E214" s="37"/>
      <c r="F214" s="37"/>
      <c r="G214" s="37"/>
      <c r="H214" s="37"/>
      <c r="I214" s="37"/>
      <c r="J214" s="37"/>
      <c r="K214" s="37"/>
      <c r="L214" s="37"/>
      <c r="M214" s="37"/>
      <c r="N214" s="37"/>
      <c r="O214" s="37"/>
      <c r="P214" s="37"/>
      <c r="Q214" s="37"/>
      <c r="R214" s="37"/>
      <c r="S214" s="37"/>
      <c r="T214" s="37"/>
      <c r="U214" s="37"/>
      <c r="V214" s="37"/>
      <c r="W214" s="37"/>
      <c r="X214" s="37"/>
      <c r="Y214" s="37"/>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97"/>
      <c r="BA214" s="197"/>
      <c r="BB214" s="197"/>
      <c r="BC214" s="197"/>
      <c r="BD214" s="197"/>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118"/>
      <c r="CE214" s="118"/>
    </row>
    <row r="215" spans="1:83" s="38" customFormat="1" ht="14" hidden="1" x14ac:dyDescent="0.3">
      <c r="A215" s="139"/>
      <c r="B215" s="139"/>
      <c r="C215" s="167"/>
      <c r="D215" s="168"/>
      <c r="E215" s="139">
        <v>0</v>
      </c>
      <c r="F215" s="139">
        <f t="shared" ref="F215:U215" si="120">E215+1</f>
        <v>1</v>
      </c>
      <c r="G215" s="139">
        <f t="shared" si="120"/>
        <v>2</v>
      </c>
      <c r="H215" s="139">
        <f t="shared" si="120"/>
        <v>3</v>
      </c>
      <c r="I215" s="139">
        <f t="shared" si="120"/>
        <v>4</v>
      </c>
      <c r="J215" s="139">
        <f t="shared" si="120"/>
        <v>5</v>
      </c>
      <c r="K215" s="139">
        <f t="shared" si="120"/>
        <v>6</v>
      </c>
      <c r="L215" s="139">
        <f t="shared" si="120"/>
        <v>7</v>
      </c>
      <c r="M215" s="139">
        <f t="shared" si="120"/>
        <v>8</v>
      </c>
      <c r="N215" s="139">
        <f t="shared" si="120"/>
        <v>9</v>
      </c>
      <c r="O215" s="139">
        <f t="shared" si="120"/>
        <v>10</v>
      </c>
      <c r="P215" s="139">
        <f t="shared" si="120"/>
        <v>11</v>
      </c>
      <c r="Q215" s="139">
        <f t="shared" si="120"/>
        <v>12</v>
      </c>
      <c r="R215" s="139">
        <f t="shared" si="120"/>
        <v>13</v>
      </c>
      <c r="S215" s="139">
        <f t="shared" si="120"/>
        <v>14</v>
      </c>
      <c r="T215" s="139">
        <f t="shared" si="120"/>
        <v>15</v>
      </c>
      <c r="U215" s="139">
        <f t="shared" si="120"/>
        <v>16</v>
      </c>
      <c r="V215" s="139">
        <f>U215+1</f>
        <v>17</v>
      </c>
      <c r="W215" s="139">
        <f>V215+1</f>
        <v>18</v>
      </c>
      <c r="X215" s="139">
        <f>W215+1</f>
        <v>19</v>
      </c>
      <c r="Y215" s="139">
        <f>X215+1</f>
        <v>20</v>
      </c>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97"/>
      <c r="BA215" s="197"/>
      <c r="BB215" s="197"/>
      <c r="BC215" s="197"/>
      <c r="BD215" s="197"/>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60"/>
      <c r="CD215" s="118"/>
      <c r="CE215" s="118"/>
    </row>
    <row r="216" spans="1:83" s="38" customFormat="1" ht="14" hidden="1" x14ac:dyDescent="0.3">
      <c r="A216" s="37"/>
      <c r="B216" s="37"/>
      <c r="C216" s="142" t="s">
        <v>113</v>
      </c>
      <c r="D216" s="144" t="str">
        <f t="shared" ref="D216:D235" si="121">D7</f>
        <v>Prioritaire</v>
      </c>
      <c r="E216" s="166">
        <f t="shared" ref="E216:F235" si="122">E187*E$95</f>
        <v>-50000</v>
      </c>
      <c r="F216" s="166">
        <f t="shared" ca="1" si="122"/>
        <v>38773.232323232318</v>
      </c>
      <c r="G216" s="166">
        <f t="shared" ref="G216:Y216" ca="1" si="123">G187*G$95</f>
        <v>37134.77961432506</v>
      </c>
      <c r="H216" s="166">
        <f t="shared" ca="1" si="123"/>
        <v>35559.532306536428</v>
      </c>
      <c r="I216" s="166">
        <f t="shared" ca="1" si="123"/>
        <v>34045.641947271353</v>
      </c>
      <c r="J216" s="166">
        <f t="shared" ca="1" si="123"/>
        <v>32591.250966308806</v>
      </c>
      <c r="K216" s="166">
        <f t="shared" ca="1" si="123"/>
        <v>31194.501557348292</v>
      </c>
      <c r="L216" s="166">
        <f t="shared" ca="1" si="123"/>
        <v>29853.543386112513</v>
      </c>
      <c r="M216" s="166">
        <f t="shared" ca="1" si="123"/>
        <v>28566.540248320678</v>
      </c>
      <c r="N216" s="166">
        <f t="shared" ca="1" si="123"/>
        <v>27331.675788880155</v>
      </c>
      <c r="O216" s="166">
        <f t="shared" ca="1" si="123"/>
        <v>26147.158382800033</v>
      </c>
      <c r="P216" s="166">
        <f t="shared" ca="1" si="123"/>
        <v>25011.225268504051</v>
      </c>
      <c r="Q216" s="166">
        <f t="shared" ca="1" si="123"/>
        <v>23922.146015319518</v>
      </c>
      <c r="R216" s="166">
        <f t="shared" ca="1" si="123"/>
        <v>22878.225398856408</v>
      </c>
      <c r="S216" s="166">
        <f t="shared" ca="1" si="123"/>
        <v>21877.805750690663</v>
      </c>
      <c r="T216" s="166">
        <f t="shared" ca="1" si="123"/>
        <v>20919.26884215555</v>
      </c>
      <c r="U216" s="166">
        <f t="shared" ca="1" si="123"/>
        <v>20001.037356062458</v>
      </c>
      <c r="V216" s="166">
        <f t="shared" ca="1" si="123"/>
        <v>19121.575994758277</v>
      </c>
      <c r="W216" s="166">
        <f t="shared" ca="1" si="123"/>
        <v>18279.392268028376</v>
      </c>
      <c r="X216" s="166">
        <f t="shared" ca="1" si="123"/>
        <v>17473.036999923788</v>
      </c>
      <c r="Y216" s="166">
        <f t="shared" ca="1" si="123"/>
        <v>16701.104589585426</v>
      </c>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97"/>
      <c r="BA216" s="197"/>
      <c r="BB216" s="197"/>
      <c r="BC216" s="197"/>
      <c r="BD216" s="197"/>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118"/>
      <c r="CE216" s="118"/>
    </row>
    <row r="217" spans="1:83" s="38" customFormat="1" ht="14" hidden="1" x14ac:dyDescent="0.3">
      <c r="A217" s="37"/>
      <c r="B217" s="37"/>
      <c r="C217" s="41" t="s">
        <v>114</v>
      </c>
      <c r="D217" s="145" t="str">
        <f t="shared" si="121"/>
        <v>Très ambitieux</v>
      </c>
      <c r="E217" s="164">
        <f t="shared" si="122"/>
        <v>-43500</v>
      </c>
      <c r="F217" s="164">
        <f t="shared" ca="1" si="122"/>
        <v>4565.454545454545</v>
      </c>
      <c r="G217" s="164">
        <f t="shared" ref="G217:Y217" ca="1" si="124">G188*G$95</f>
        <v>4357.9338842975203</v>
      </c>
      <c r="H217" s="164">
        <f t="shared" ca="1" si="124"/>
        <v>4159.8459804658141</v>
      </c>
      <c r="I217" s="164">
        <f t="shared" ca="1" si="124"/>
        <v>3970.762072262823</v>
      </c>
      <c r="J217" s="164">
        <f t="shared" ca="1" si="124"/>
        <v>3790.272887159967</v>
      </c>
      <c r="K217" s="164">
        <f t="shared" ca="1" si="124"/>
        <v>3617.9877559254237</v>
      </c>
      <c r="L217" s="164">
        <f t="shared" ca="1" si="124"/>
        <v>3453.5337670197218</v>
      </c>
      <c r="M217" s="164">
        <f t="shared" ca="1" si="124"/>
        <v>3296.5549594279164</v>
      </c>
      <c r="N217" s="164">
        <f t="shared" ca="1" si="124"/>
        <v>3146.7115521811929</v>
      </c>
      <c r="O217" s="164">
        <f t="shared" ca="1" si="124"/>
        <v>3003.6792089002297</v>
      </c>
      <c r="P217" s="164">
        <f t="shared" ca="1" si="124"/>
        <v>2867.1483357684006</v>
      </c>
      <c r="Q217" s="164">
        <f t="shared" ca="1" si="124"/>
        <v>2736.8234114152915</v>
      </c>
      <c r="R217" s="164">
        <f t="shared" ca="1" si="124"/>
        <v>2612.4223472600515</v>
      </c>
      <c r="S217" s="164">
        <f t="shared" ca="1" si="124"/>
        <v>2493.6758769300482</v>
      </c>
      <c r="T217" s="164">
        <f t="shared" ca="1" si="124"/>
        <v>2380.326973433228</v>
      </c>
      <c r="U217" s="164">
        <f t="shared" ca="1" si="124"/>
        <v>2272.1302928226269</v>
      </c>
      <c r="V217" s="164">
        <f t="shared" ca="1" si="124"/>
        <v>2168.8516431488711</v>
      </c>
      <c r="W217" s="164">
        <f t="shared" ca="1" si="124"/>
        <v>2070.2674775511955</v>
      </c>
      <c r="X217" s="164">
        <f t="shared" ca="1" si="124"/>
        <v>1976.1644103897768</v>
      </c>
      <c r="Y217" s="164">
        <f t="shared" ca="1" si="124"/>
        <v>1886.3387553720602</v>
      </c>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97"/>
      <c r="BA217" s="197"/>
      <c r="BB217" s="197"/>
      <c r="BC217" s="197"/>
      <c r="BD217" s="197"/>
      <c r="BE217" s="60"/>
      <c r="BF217" s="60"/>
      <c r="BG217" s="60"/>
      <c r="BH217" s="60"/>
      <c r="BI217" s="60"/>
      <c r="BJ217" s="60"/>
      <c r="BK217" s="60"/>
      <c r="BL217" s="60"/>
      <c r="BM217" s="60"/>
      <c r="BN217" s="60"/>
      <c r="BO217" s="60"/>
      <c r="BP217" s="60"/>
      <c r="BQ217" s="60"/>
      <c r="BR217" s="60"/>
      <c r="BS217" s="60"/>
      <c r="BT217" s="60"/>
      <c r="BU217" s="60"/>
      <c r="BV217" s="60"/>
      <c r="BW217" s="60"/>
      <c r="BX217" s="60"/>
      <c r="BY217" s="60"/>
      <c r="BZ217" s="60"/>
      <c r="CA217" s="60"/>
      <c r="CB217" s="60"/>
      <c r="CC217" s="60"/>
      <c r="CD217" s="118"/>
      <c r="CE217" s="118"/>
    </row>
    <row r="218" spans="1:83" s="38" customFormat="1" ht="14" hidden="1" x14ac:dyDescent="0.3">
      <c r="A218" s="37"/>
      <c r="B218" s="37"/>
      <c r="C218" s="41" t="s">
        <v>115</v>
      </c>
      <c r="D218" s="145" t="str">
        <f t="shared" si="121"/>
        <v>Très ambitieux</v>
      </c>
      <c r="E218" s="164">
        <f t="shared" si="122"/>
        <v>-66000</v>
      </c>
      <c r="F218" s="164">
        <f t="shared" ca="1" si="122"/>
        <v>8594.2727272727279</v>
      </c>
      <c r="G218" s="164">
        <f t="shared" ref="G218:Y218" ca="1" si="125">G189*G$95</f>
        <v>8162.3016528925627</v>
      </c>
      <c r="H218" s="164">
        <f t="shared" ca="1" si="125"/>
        <v>7753.7222013523651</v>
      </c>
      <c r="I218" s="164">
        <f t="shared" ca="1" si="125"/>
        <v>7367.1296103408231</v>
      </c>
      <c r="J218" s="164">
        <f t="shared" ca="1" si="125"/>
        <v>7001.2140164451002</v>
      </c>
      <c r="K218" s="164">
        <f t="shared" ca="1" si="125"/>
        <v>6654.7533191949078</v>
      </c>
      <c r="L218" s="164">
        <f t="shared" ca="1" si="125"/>
        <v>6326.6066260472389</v>
      </c>
      <c r="M218" s="164">
        <f t="shared" ca="1" si="125"/>
        <v>6015.7082285800598</v>
      </c>
      <c r="N218" s="164">
        <f t="shared" ca="1" si="125"/>
        <v>5721.0620645441604</v>
      </c>
      <c r="O218" s="164">
        <f t="shared" ca="1" si="125"/>
        <v>5441.7366244115847</v>
      </c>
      <c r="P218" s="164">
        <f t="shared" ca="1" si="125"/>
        <v>5176.8602646915333</v>
      </c>
      <c r="Q218" s="164">
        <f t="shared" ca="1" si="125"/>
        <v>4925.6168935927644</v>
      </c>
      <c r="R218" s="164">
        <f t="shared" ca="1" si="125"/>
        <v>4687.241997624441</v>
      </c>
      <c r="S218" s="164">
        <f t="shared" ca="1" si="125"/>
        <v>4461.018980471662</v>
      </c>
      <c r="T218" s="164">
        <f t="shared" ca="1" si="125"/>
        <v>4246.2757879817646</v>
      </c>
      <c r="U218" s="164">
        <f t="shared" ca="1" si="125"/>
        <v>4042.3817953749044</v>
      </c>
      <c r="V218" s="164">
        <f t="shared" ca="1" si="125"/>
        <v>3848.7449348674022</v>
      </c>
      <c r="W218" s="164">
        <f t="shared" ca="1" si="125"/>
        <v>3664.8090437870596</v>
      </c>
      <c r="X218" s="164">
        <f t="shared" ca="1" si="125"/>
        <v>3490.0514149826827</v>
      </c>
      <c r="Y218" s="164">
        <f t="shared" ca="1" si="125"/>
        <v>3323.9805329004453</v>
      </c>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97"/>
      <c r="BA218" s="197"/>
      <c r="BB218" s="197"/>
      <c r="BC218" s="197"/>
      <c r="BD218" s="197"/>
      <c r="BE218" s="60"/>
      <c r="BF218" s="60"/>
      <c r="BG218" s="60"/>
      <c r="BH218" s="60"/>
      <c r="BI218" s="60"/>
      <c r="BJ218" s="60"/>
      <c r="BK218" s="60"/>
      <c r="BL218" s="60"/>
      <c r="BM218" s="60"/>
      <c r="BN218" s="60"/>
      <c r="BO218" s="60"/>
      <c r="BP218" s="60"/>
      <c r="BQ218" s="60"/>
      <c r="BR218" s="60"/>
      <c r="BS218" s="60"/>
      <c r="BT218" s="60"/>
      <c r="BU218" s="60"/>
      <c r="BV218" s="60"/>
      <c r="BW218" s="60"/>
      <c r="BX218" s="60"/>
      <c r="BY218" s="60"/>
      <c r="BZ218" s="60"/>
      <c r="CA218" s="60"/>
      <c r="CB218" s="60"/>
      <c r="CC218" s="60"/>
      <c r="CD218" s="118"/>
      <c r="CE218" s="118"/>
    </row>
    <row r="219" spans="1:83" s="38" customFormat="1" ht="14" hidden="1" x14ac:dyDescent="0.3">
      <c r="A219" s="37"/>
      <c r="B219" s="37"/>
      <c r="C219" s="41" t="s">
        <v>116</v>
      </c>
      <c r="D219" s="145" t="str">
        <f t="shared" si="121"/>
        <v>Très ambitieux</v>
      </c>
      <c r="E219" s="164">
        <f t="shared" si="122"/>
        <v>-49500</v>
      </c>
      <c r="F219" s="164">
        <f t="shared" ca="1" si="122"/>
        <v>8370</v>
      </c>
      <c r="G219" s="164">
        <f t="shared" ref="G219:Y219" ca="1" si="126">G190*G$95</f>
        <v>7989.545454545454</v>
      </c>
      <c r="H219" s="164">
        <f t="shared" ca="1" si="126"/>
        <v>7626.3842975206589</v>
      </c>
      <c r="I219" s="164">
        <f t="shared" ca="1" si="126"/>
        <v>7279.7304658151761</v>
      </c>
      <c r="J219" s="164">
        <f t="shared" ca="1" si="126"/>
        <v>6948.8336264599393</v>
      </c>
      <c r="K219" s="164">
        <f t="shared" ca="1" si="126"/>
        <v>6632.9775525299438</v>
      </c>
      <c r="L219" s="164">
        <f t="shared" ca="1" si="126"/>
        <v>6331.4785728694897</v>
      </c>
      <c r="M219" s="164">
        <f t="shared" ca="1" si="126"/>
        <v>6043.684092284514</v>
      </c>
      <c r="N219" s="164">
        <f t="shared" ca="1" si="126"/>
        <v>5768.9711789988532</v>
      </c>
      <c r="O219" s="164">
        <f t="shared" ca="1" si="126"/>
        <v>5506.7452163170874</v>
      </c>
      <c r="P219" s="164">
        <f t="shared" ca="1" si="126"/>
        <v>5256.4386155754009</v>
      </c>
      <c r="Q219" s="164">
        <f t="shared" ca="1" si="126"/>
        <v>5017.5095875947018</v>
      </c>
      <c r="R219" s="164">
        <f t="shared" ca="1" si="126"/>
        <v>4789.4409699767612</v>
      </c>
      <c r="S219" s="164">
        <f t="shared" ca="1" si="126"/>
        <v>4571.7391077050879</v>
      </c>
      <c r="T219" s="164">
        <f t="shared" ca="1" si="126"/>
        <v>4363.9327846275846</v>
      </c>
      <c r="U219" s="164">
        <f t="shared" ca="1" si="126"/>
        <v>4165.5722035081499</v>
      </c>
      <c r="V219" s="164">
        <f t="shared" ca="1" si="126"/>
        <v>3976.2280124395979</v>
      </c>
      <c r="W219" s="164">
        <f t="shared" ca="1" si="126"/>
        <v>3795.4903755105247</v>
      </c>
      <c r="X219" s="164">
        <f t="shared" ca="1" si="126"/>
        <v>3622.9680857145913</v>
      </c>
      <c r="Y219" s="164">
        <f t="shared" ca="1" si="126"/>
        <v>3458.28771818211</v>
      </c>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97"/>
      <c r="BA219" s="197"/>
      <c r="BB219" s="197"/>
      <c r="BC219" s="197"/>
      <c r="BD219" s="197"/>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118"/>
      <c r="CE219" s="118"/>
    </row>
    <row r="220" spans="1:83" s="38" customFormat="1" ht="14" hidden="1" x14ac:dyDescent="0.3">
      <c r="A220" s="37"/>
      <c r="B220" s="37"/>
      <c r="C220" s="41" t="s">
        <v>117</v>
      </c>
      <c r="D220" s="145" t="str">
        <f t="shared" si="121"/>
        <v>Prioritaire</v>
      </c>
      <c r="E220" s="164">
        <f t="shared" si="122"/>
        <v>-1500</v>
      </c>
      <c r="F220" s="164">
        <f t="shared" ca="1" si="122"/>
        <v>6625.909090909091</v>
      </c>
      <c r="G220" s="164">
        <f t="shared" ref="G220:Y220" ca="1" si="127">G191*G$95</f>
        <v>6386.7148760330583</v>
      </c>
      <c r="H220" s="164">
        <f t="shared" ca="1" si="127"/>
        <v>6152.7582644628092</v>
      </c>
      <c r="I220" s="164">
        <f t="shared" ca="1" si="127"/>
        <v>5924.313443412334</v>
      </c>
      <c r="J220" s="164">
        <f t="shared" ca="1" si="127"/>
        <v>5701.59556794121</v>
      </c>
      <c r="K220" s="164">
        <f t="shared" ca="1" si="127"/>
        <v>5484.7676777888255</v>
      </c>
      <c r="L220" s="164">
        <f t="shared" ca="1" si="127"/>
        <v>5273.9469149384531</v>
      </c>
      <c r="M220" s="164">
        <f t="shared" ca="1" si="127"/>
        <v>5069.210108684254</v>
      </c>
      <c r="N220" s="164">
        <f t="shared" ca="1" si="127"/>
        <v>4870.5987887583606</v>
      </c>
      <c r="O220" s="164">
        <f t="shared" ca="1" si="127"/>
        <v>4678.1236814311051</v>
      </c>
      <c r="P220" s="164">
        <f t="shared" ca="1" si="127"/>
        <v>4491.7687383726125</v>
      </c>
      <c r="Q220" s="164">
        <f t="shared" ca="1" si="127"/>
        <v>4311.4947434112255</v>
      </c>
      <c r="R220" s="164">
        <f t="shared" ca="1" si="127"/>
        <v>4137.2425381000585</v>
      </c>
      <c r="S220" s="164">
        <f t="shared" ca="1" si="127"/>
        <v>3968.9359031684648</v>
      </c>
      <c r="T220" s="164">
        <f t="shared" ca="1" si="127"/>
        <v>3806.484129454404</v>
      </c>
      <c r="U220" s="164">
        <f t="shared" ca="1" si="127"/>
        <v>3649.7843087543743</v>
      </c>
      <c r="V220" s="164">
        <f t="shared" ca="1" si="127"/>
        <v>3498.7233721603225</v>
      </c>
      <c r="W220" s="164">
        <f t="shared" ca="1" si="127"/>
        <v>3353.1799008507714</v>
      </c>
      <c r="X220" s="164">
        <f t="shared" ca="1" si="127"/>
        <v>3213.0257319422731</v>
      </c>
      <c r="Y220" s="164">
        <f t="shared" ca="1" si="127"/>
        <v>3078.1273798648899</v>
      </c>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97"/>
      <c r="BA220" s="197"/>
      <c r="BB220" s="197"/>
      <c r="BC220" s="197"/>
      <c r="BD220" s="197"/>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118"/>
      <c r="CE220" s="118"/>
    </row>
    <row r="221" spans="1:83" s="38" customFormat="1" ht="14" hidden="1" x14ac:dyDescent="0.3">
      <c r="A221" s="37"/>
      <c r="B221" s="37"/>
      <c r="C221" s="41" t="s">
        <v>118</v>
      </c>
      <c r="D221" s="145" t="str">
        <f t="shared" si="121"/>
        <v>Ambitieux</v>
      </c>
      <c r="E221" s="164">
        <f t="shared" si="122"/>
        <v>-62100</v>
      </c>
      <c r="F221" s="164">
        <f t="shared" ca="1" si="122"/>
        <v>15983.838383838383</v>
      </c>
      <c r="G221" s="164">
        <f t="shared" ref="G221:Y221" ca="1" si="128">G192*G$95</f>
        <v>15257.300275482094</v>
      </c>
      <c r="H221" s="164">
        <f t="shared" ca="1" si="128"/>
        <v>14563.78662659654</v>
      </c>
      <c r="I221" s="164">
        <f t="shared" ca="1" si="128"/>
        <v>13901.796325387608</v>
      </c>
      <c r="J221" s="164">
        <f t="shared" ca="1" si="128"/>
        <v>13269.896492415442</v>
      </c>
      <c r="K221" s="164">
        <f t="shared" ca="1" si="128"/>
        <v>12666.719379123835</v>
      </c>
      <c r="L221" s="164">
        <f t="shared" ca="1" si="128"/>
        <v>12090.959407345475</v>
      </c>
      <c r="M221" s="164">
        <f t="shared" ca="1" si="128"/>
        <v>11541.370343375227</v>
      </c>
      <c r="N221" s="164">
        <f t="shared" ca="1" si="128"/>
        <v>11016.762600494534</v>
      </c>
      <c r="O221" s="164">
        <f t="shared" ca="1" si="128"/>
        <v>10516.000664108418</v>
      </c>
      <c r="P221" s="164">
        <f t="shared" ca="1" si="128"/>
        <v>10038.000633921671</v>
      </c>
      <c r="Q221" s="164">
        <f t="shared" ca="1" si="128"/>
        <v>9581.7278778343225</v>
      </c>
      <c r="R221" s="164">
        <f t="shared" ca="1" si="128"/>
        <v>9146.1947924782198</v>
      </c>
      <c r="S221" s="164">
        <f t="shared" ca="1" si="128"/>
        <v>8730.4586655473886</v>
      </c>
      <c r="T221" s="164">
        <f t="shared" ca="1" si="128"/>
        <v>8333.6196352952338</v>
      </c>
      <c r="U221" s="164">
        <f t="shared" ca="1" si="128"/>
        <v>7954.8187427818166</v>
      </c>
      <c r="V221" s="164">
        <f t="shared" ca="1" si="128"/>
        <v>7593.2360726553698</v>
      </c>
      <c r="W221" s="164">
        <f t="shared" ca="1" si="128"/>
        <v>7248.0889784437622</v>
      </c>
      <c r="X221" s="164">
        <f t="shared" ca="1" si="128"/>
        <v>6918.630388514498</v>
      </c>
      <c r="Y221" s="164">
        <f t="shared" ca="1" si="128"/>
        <v>6604.1471890365674</v>
      </c>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97"/>
      <c r="BA221" s="197"/>
      <c r="BB221" s="197"/>
      <c r="BC221" s="197"/>
      <c r="BD221" s="197"/>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118"/>
      <c r="CE221" s="118"/>
    </row>
    <row r="222" spans="1:83" s="38" customFormat="1" ht="14" hidden="1" x14ac:dyDescent="0.3">
      <c r="A222" s="37"/>
      <c r="B222" s="37"/>
      <c r="C222" s="41" t="s">
        <v>123</v>
      </c>
      <c r="D222" s="145" t="str">
        <f t="shared" si="121"/>
        <v>Prioritaire</v>
      </c>
      <c r="E222" s="164">
        <f t="shared" si="122"/>
        <v>-50000</v>
      </c>
      <c r="F222" s="164">
        <f t="shared" ca="1" si="122"/>
        <v>22303.0303030303</v>
      </c>
      <c r="G222" s="164">
        <f t="shared" ref="G222:Y222" ca="1" si="129">G193*G$95</f>
        <v>21289.256198347106</v>
      </c>
      <c r="H222" s="164">
        <f t="shared" ca="1" si="129"/>
        <v>20321.562734785868</v>
      </c>
      <c r="I222" s="164">
        <f t="shared" ca="1" si="129"/>
        <v>19397.855337750148</v>
      </c>
      <c r="J222" s="164">
        <f t="shared" ca="1" si="129"/>
        <v>18516.134640579687</v>
      </c>
      <c r="K222" s="164">
        <f t="shared" ca="1" si="129"/>
        <v>17674.492156916975</v>
      </c>
      <c r="L222" s="164">
        <f t="shared" ca="1" si="129"/>
        <v>16871.106149784384</v>
      </c>
      <c r="M222" s="164">
        <f t="shared" ca="1" si="129"/>
        <v>16104.237688430547</v>
      </c>
      <c r="N222" s="164">
        <f t="shared" ca="1" si="129"/>
        <v>15372.226884410977</v>
      </c>
      <c r="O222" s="164">
        <f t="shared" ca="1" si="129"/>
        <v>14673.489298755932</v>
      </c>
      <c r="P222" s="164">
        <f t="shared" ca="1" si="129"/>
        <v>14006.512512448842</v>
      </c>
      <c r="Q222" s="164">
        <f t="shared" ca="1" si="129"/>
        <v>13369.852852792079</v>
      </c>
      <c r="R222" s="164">
        <f t="shared" ca="1" si="129"/>
        <v>12762.132268574258</v>
      </c>
      <c r="S222" s="164">
        <f t="shared" ca="1" si="129"/>
        <v>12182.035347275425</v>
      </c>
      <c r="T222" s="164">
        <f t="shared" ca="1" si="129"/>
        <v>11628.306467853816</v>
      </c>
      <c r="U222" s="164">
        <f t="shared" ca="1" si="129"/>
        <v>11099.74708295137</v>
      </c>
      <c r="V222" s="164">
        <f t="shared" ca="1" si="129"/>
        <v>10595.2131246354</v>
      </c>
      <c r="W222" s="164">
        <f t="shared" ca="1" si="129"/>
        <v>10113.612528061063</v>
      </c>
      <c r="X222" s="164">
        <f t="shared" ca="1" si="129"/>
        <v>9653.9028676946491</v>
      </c>
      <c r="Y222" s="164">
        <f t="shared" ca="1" si="129"/>
        <v>9215.0891009812567</v>
      </c>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97"/>
      <c r="BA222" s="197"/>
      <c r="BB222" s="197"/>
      <c r="BC222" s="197"/>
      <c r="BD222" s="197"/>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118"/>
      <c r="CE222" s="118"/>
    </row>
    <row r="223" spans="1:83" s="38" customFormat="1" ht="14" hidden="1" x14ac:dyDescent="0.3">
      <c r="A223" s="37"/>
      <c r="B223" s="37"/>
      <c r="C223" s="41" t="s">
        <v>124</v>
      </c>
      <c r="D223" s="145" t="str">
        <f t="shared" si="121"/>
        <v>Prioritaire</v>
      </c>
      <c r="E223" s="164">
        <f t="shared" si="122"/>
        <v>-5300</v>
      </c>
      <c r="F223" s="164">
        <f t="shared" ca="1" si="122"/>
        <v>13604.848484848484</v>
      </c>
      <c r="G223" s="164">
        <f t="shared" ref="G223:Y223" ca="1" si="130">G194*G$95</f>
        <v>12986.446280991733</v>
      </c>
      <c r="H223" s="164">
        <f t="shared" ca="1" si="130"/>
        <v>12396.153268219379</v>
      </c>
      <c r="I223" s="164">
        <f t="shared" ca="1" si="130"/>
        <v>11832.691756027591</v>
      </c>
      <c r="J223" s="164">
        <f t="shared" ca="1" si="130"/>
        <v>11294.842130753608</v>
      </c>
      <c r="K223" s="164">
        <f t="shared" ca="1" si="130"/>
        <v>10781.440215719354</v>
      </c>
      <c r="L223" s="164">
        <f t="shared" ca="1" si="130"/>
        <v>10291.374751368474</v>
      </c>
      <c r="M223" s="164">
        <f t="shared" ca="1" si="130"/>
        <v>9823.5849899426339</v>
      </c>
      <c r="N223" s="164">
        <f t="shared" ca="1" si="130"/>
        <v>9377.0583994906956</v>
      </c>
      <c r="O223" s="164">
        <f t="shared" ca="1" si="130"/>
        <v>8950.8284722411172</v>
      </c>
      <c r="P223" s="164">
        <f t="shared" ca="1" si="130"/>
        <v>8543.9726325937936</v>
      </c>
      <c r="Q223" s="164">
        <f t="shared" ca="1" si="130"/>
        <v>8155.6102402031675</v>
      </c>
      <c r="R223" s="164">
        <f t="shared" ca="1" si="130"/>
        <v>7784.9006838302976</v>
      </c>
      <c r="S223" s="164">
        <f t="shared" ca="1" si="130"/>
        <v>7431.0415618380093</v>
      </c>
      <c r="T223" s="164">
        <f t="shared" ca="1" si="130"/>
        <v>7093.2669453908275</v>
      </c>
      <c r="U223" s="164">
        <f t="shared" ca="1" si="130"/>
        <v>6770.845720600335</v>
      </c>
      <c r="V223" s="164">
        <f t="shared" ca="1" si="130"/>
        <v>6463.0800060275933</v>
      </c>
      <c r="W223" s="164">
        <f t="shared" ca="1" si="130"/>
        <v>6169.3036421172483</v>
      </c>
      <c r="X223" s="164">
        <f t="shared" ca="1" si="130"/>
        <v>5888.8807492937358</v>
      </c>
      <c r="Y223" s="164">
        <f t="shared" ca="1" si="130"/>
        <v>5621.2043515985661</v>
      </c>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97"/>
      <c r="BA223" s="197"/>
      <c r="BB223" s="197"/>
      <c r="BC223" s="197"/>
      <c r="BD223" s="197"/>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60"/>
      <c r="CD223" s="118"/>
      <c r="CE223" s="118"/>
    </row>
    <row r="224" spans="1:83" s="38" customFormat="1" ht="14" hidden="1" x14ac:dyDescent="0.3">
      <c r="A224" s="37"/>
      <c r="B224" s="37"/>
      <c r="C224" s="41" t="s">
        <v>125</v>
      </c>
      <c r="D224" s="145" t="str">
        <f t="shared" si="121"/>
        <v>Ambitieux</v>
      </c>
      <c r="E224" s="164">
        <f t="shared" si="122"/>
        <v>-65000</v>
      </c>
      <c r="F224" s="164">
        <f t="shared" ca="1" si="122"/>
        <v>26020.202020202018</v>
      </c>
      <c r="G224" s="164">
        <f t="shared" ref="G224:Y224" ca="1" si="131">G195*G$95</f>
        <v>24837.46556473829</v>
      </c>
      <c r="H224" s="164">
        <f t="shared" ca="1" si="131"/>
        <v>23708.489857250177</v>
      </c>
      <c r="I224" s="164">
        <f t="shared" ca="1" si="131"/>
        <v>22630.831227375176</v>
      </c>
      <c r="J224" s="164">
        <f t="shared" ca="1" si="131"/>
        <v>21602.157080676301</v>
      </c>
      <c r="K224" s="164">
        <f t="shared" ca="1" si="131"/>
        <v>20620.24084973647</v>
      </c>
      <c r="L224" s="164">
        <f t="shared" ca="1" si="131"/>
        <v>19682.957174748448</v>
      </c>
      <c r="M224" s="164">
        <f t="shared" ca="1" si="131"/>
        <v>18788.277303168972</v>
      </c>
      <c r="N224" s="164">
        <f t="shared" ca="1" si="131"/>
        <v>17934.264698479474</v>
      </c>
      <c r="O224" s="164">
        <f t="shared" ca="1" si="131"/>
        <v>17119.070848548585</v>
      </c>
      <c r="P224" s="164">
        <f t="shared" ca="1" si="131"/>
        <v>16340.931264523648</v>
      </c>
      <c r="Q224" s="164">
        <f t="shared" ca="1" si="131"/>
        <v>15598.161661590757</v>
      </c>
      <c r="R224" s="164">
        <f t="shared" ca="1" si="131"/>
        <v>14889.154313336634</v>
      </c>
      <c r="S224" s="164">
        <f t="shared" ca="1" si="131"/>
        <v>14212.374571821329</v>
      </c>
      <c r="T224" s="164">
        <f t="shared" ca="1" si="131"/>
        <v>13566.357545829451</v>
      </c>
      <c r="U224" s="164">
        <f t="shared" ca="1" si="131"/>
        <v>12949.704930109931</v>
      </c>
      <c r="V224" s="164">
        <f t="shared" ca="1" si="131"/>
        <v>12361.081978741298</v>
      </c>
      <c r="W224" s="164">
        <f t="shared" ca="1" si="131"/>
        <v>11799.21461607124</v>
      </c>
      <c r="X224" s="164">
        <f t="shared" ca="1" si="131"/>
        <v>11262.886678977089</v>
      </c>
      <c r="Y224" s="164">
        <f t="shared" ca="1" si="131"/>
        <v>10750.937284478132</v>
      </c>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97"/>
      <c r="BA224" s="197"/>
      <c r="BB224" s="197"/>
      <c r="BC224" s="197"/>
      <c r="BD224" s="197"/>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118"/>
      <c r="CE224" s="118"/>
    </row>
    <row r="225" spans="1:83" s="38" customFormat="1" ht="14" hidden="1" x14ac:dyDescent="0.3">
      <c r="A225" s="37"/>
      <c r="B225" s="37"/>
      <c r="C225" s="41" t="s">
        <v>126</v>
      </c>
      <c r="D225" s="145" t="str">
        <f t="shared" si="121"/>
        <v>Prioritaire</v>
      </c>
      <c r="E225" s="164">
        <f t="shared" si="122"/>
        <v>-5000</v>
      </c>
      <c r="F225" s="164">
        <f t="shared" ca="1" si="122"/>
        <v>7154.545454545454</v>
      </c>
      <c r="G225" s="164">
        <f t="shared" ref="G225:Y225" ca="1" si="132">G196*G$95</f>
        <v>6849.9999999999991</v>
      </c>
      <c r="H225" s="164">
        <f t="shared" ca="1" si="132"/>
        <v>6557.4192336589022</v>
      </c>
      <c r="I225" s="164">
        <f t="shared" ca="1" si="132"/>
        <v>6276.4300594221695</v>
      </c>
      <c r="J225" s="164">
        <f t="shared" ca="1" si="132"/>
        <v>6006.6608170703685</v>
      </c>
      <c r="K225" s="164">
        <f t="shared" ca="1" si="132"/>
        <v>5747.7426281821508</v>
      </c>
      <c r="L225" s="164">
        <f t="shared" ca="1" si="132"/>
        <v>5499.3105525841829</v>
      </c>
      <c r="M225" s="164">
        <f t="shared" ca="1" si="132"/>
        <v>5261.0045756083273</v>
      </c>
      <c r="N225" s="164">
        <f t="shared" ca="1" si="132"/>
        <v>5032.470444449079</v>
      </c>
      <c r="O225" s="164">
        <f t="shared" ca="1" si="132"/>
        <v>4813.3603701189504</v>
      </c>
      <c r="P225" s="164">
        <f t="shared" ca="1" si="132"/>
        <v>4603.3336098733043</v>
      </c>
      <c r="Q225" s="164">
        <f t="shared" ca="1" si="132"/>
        <v>4402.0569435036414</v>
      </c>
      <c r="R225" s="164">
        <f t="shared" ca="1" si="132"/>
        <v>4209.2050555650749</v>
      </c>
      <c r="S225" s="164">
        <f t="shared" ca="1" si="132"/>
        <v>4024.4608343970408</v>
      </c>
      <c r="T225" s="164">
        <f t="shared" ca="1" si="132"/>
        <v>3847.5155977041313</v>
      </c>
      <c r="U225" s="164">
        <f t="shared" ca="1" si="132"/>
        <v>3678.069253475971</v>
      </c>
      <c r="V225" s="164">
        <f t="shared" ca="1" si="132"/>
        <v>3515.830404131385</v>
      </c>
      <c r="W225" s="164">
        <f t="shared" ca="1" si="132"/>
        <v>3360.5164009640521</v>
      </c>
      <c r="X225" s="164">
        <f t="shared" ca="1" si="132"/>
        <v>3211.8533552363492</v>
      </c>
      <c r="Y225" s="164">
        <f t="shared" ca="1" si="132"/>
        <v>3069.5761116080284</v>
      </c>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97"/>
      <c r="BA225" s="197"/>
      <c r="BB225" s="197"/>
      <c r="BC225" s="197"/>
      <c r="BD225" s="197"/>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118"/>
      <c r="CE225" s="118"/>
    </row>
    <row r="226" spans="1:83" s="38" customFormat="1" ht="14" hidden="1" x14ac:dyDescent="0.3">
      <c r="A226" s="37"/>
      <c r="B226" s="37"/>
      <c r="C226" s="41" t="s">
        <v>284</v>
      </c>
      <c r="D226" s="145" t="str">
        <f t="shared" si="121"/>
        <v>Très ambitieux</v>
      </c>
      <c r="E226" s="164">
        <f t="shared" si="122"/>
        <v>-89000</v>
      </c>
      <c r="F226" s="164">
        <f t="shared" ca="1" si="122"/>
        <v>7989.545454545454</v>
      </c>
      <c r="G226" s="164">
        <f t="shared" ref="G226:Y226" ca="1" si="133">G197*G$95</f>
        <v>7626.3842975206617</v>
      </c>
      <c r="H226" s="164">
        <f t="shared" ca="1" si="133"/>
        <v>7279.7304658151752</v>
      </c>
      <c r="I226" s="164">
        <f t="shared" ca="1" si="133"/>
        <v>6948.8336264599402</v>
      </c>
      <c r="J226" s="164">
        <f t="shared" ca="1" si="133"/>
        <v>6632.9775525299428</v>
      </c>
      <c r="K226" s="164">
        <f t="shared" ca="1" si="133"/>
        <v>6331.4785728694915</v>
      </c>
      <c r="L226" s="164">
        <f t="shared" ca="1" si="133"/>
        <v>6043.6840922845131</v>
      </c>
      <c r="M226" s="164">
        <f t="shared" ca="1" si="133"/>
        <v>5768.9711789988542</v>
      </c>
      <c r="N226" s="164">
        <f t="shared" ca="1" si="133"/>
        <v>5506.7452163170874</v>
      </c>
      <c r="O226" s="164">
        <f t="shared" ca="1" si="133"/>
        <v>5256.4386155754019</v>
      </c>
      <c r="P226" s="164">
        <f t="shared" ca="1" si="133"/>
        <v>5017.5095875947009</v>
      </c>
      <c r="Q226" s="164">
        <f t="shared" ca="1" si="133"/>
        <v>4789.4409699767602</v>
      </c>
      <c r="R226" s="164">
        <f t="shared" ca="1" si="133"/>
        <v>4571.7391077050897</v>
      </c>
      <c r="S226" s="164">
        <f t="shared" ca="1" si="133"/>
        <v>4363.9327846275846</v>
      </c>
      <c r="T226" s="164">
        <f t="shared" ca="1" si="133"/>
        <v>4165.572203508149</v>
      </c>
      <c r="U226" s="164">
        <f t="shared" ca="1" si="133"/>
        <v>3976.228012439597</v>
      </c>
      <c r="V226" s="164">
        <f t="shared" ca="1" si="133"/>
        <v>3795.4903755105252</v>
      </c>
      <c r="W226" s="164">
        <f t="shared" ca="1" si="133"/>
        <v>3622.9680857145918</v>
      </c>
      <c r="X226" s="164">
        <f t="shared" ca="1" si="133"/>
        <v>3458.2877181821095</v>
      </c>
      <c r="Y226" s="164">
        <f t="shared" ca="1" si="133"/>
        <v>3301.0928219011053</v>
      </c>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97"/>
      <c r="BA226" s="197"/>
      <c r="BB226" s="197"/>
      <c r="BC226" s="197"/>
      <c r="BD226" s="197"/>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118"/>
      <c r="CE226" s="118"/>
    </row>
    <row r="227" spans="1:83" s="38" customFormat="1" ht="14" hidden="1" x14ac:dyDescent="0.3">
      <c r="A227" s="37"/>
      <c r="B227" s="37"/>
      <c r="C227" s="41" t="s">
        <v>285</v>
      </c>
      <c r="D227" s="145" t="str">
        <f t="shared" si="121"/>
        <v>Très ambitieux</v>
      </c>
      <c r="E227" s="164">
        <f t="shared" si="122"/>
        <v>-82000</v>
      </c>
      <c r="F227" s="164">
        <f t="shared" ca="1" si="122"/>
        <v>15979.090909090908</v>
      </c>
      <c r="G227" s="164">
        <f t="shared" ref="G227:Y227" ca="1" si="134">G198*G$95</f>
        <v>15252.768595041323</v>
      </c>
      <c r="H227" s="164">
        <f t="shared" ca="1" si="134"/>
        <v>14559.46093163035</v>
      </c>
      <c r="I227" s="164">
        <f t="shared" ca="1" si="134"/>
        <v>13897.66725291988</v>
      </c>
      <c r="J227" s="164">
        <f t="shared" ca="1" si="134"/>
        <v>13265.955105059886</v>
      </c>
      <c r="K227" s="164">
        <f t="shared" ca="1" si="134"/>
        <v>12662.957145738983</v>
      </c>
      <c r="L227" s="164">
        <f t="shared" ca="1" si="134"/>
        <v>12087.368184569026</v>
      </c>
      <c r="M227" s="164">
        <f t="shared" ca="1" si="134"/>
        <v>11537.942357997708</v>
      </c>
      <c r="N227" s="164">
        <f t="shared" ca="1" si="134"/>
        <v>11013.490432634175</v>
      </c>
      <c r="O227" s="164">
        <f t="shared" ca="1" si="134"/>
        <v>10512.877231150804</v>
      </c>
      <c r="P227" s="164">
        <f t="shared" ca="1" si="134"/>
        <v>10035.019175189402</v>
      </c>
      <c r="Q227" s="164">
        <f t="shared" ca="1" si="134"/>
        <v>9578.8819399535205</v>
      </c>
      <c r="R227" s="164">
        <f t="shared" ca="1" si="134"/>
        <v>9143.4782154101795</v>
      </c>
      <c r="S227" s="164">
        <f t="shared" ca="1" si="134"/>
        <v>8727.8655692551692</v>
      </c>
      <c r="T227" s="164">
        <f t="shared" ca="1" si="134"/>
        <v>8331.1444070162979</v>
      </c>
      <c r="U227" s="164">
        <f t="shared" ca="1" si="134"/>
        <v>7952.456024879194</v>
      </c>
      <c r="V227" s="164">
        <f t="shared" ca="1" si="134"/>
        <v>7590.9807510210503</v>
      </c>
      <c r="W227" s="164">
        <f t="shared" ca="1" si="134"/>
        <v>7245.9361714291836</v>
      </c>
      <c r="X227" s="164">
        <f t="shared" ca="1" si="134"/>
        <v>6916.5754363642191</v>
      </c>
      <c r="Y227" s="164">
        <f t="shared" ca="1" si="134"/>
        <v>6602.1856438022105</v>
      </c>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97"/>
      <c r="BA227" s="197"/>
      <c r="BB227" s="197"/>
      <c r="BC227" s="197"/>
      <c r="BD227" s="197"/>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118"/>
      <c r="CE227" s="118"/>
    </row>
    <row r="228" spans="1:83" s="38" customFormat="1" ht="14" hidden="1" x14ac:dyDescent="0.3">
      <c r="A228" s="37"/>
      <c r="B228" s="37"/>
      <c r="C228" s="41" t="s">
        <v>286</v>
      </c>
      <c r="D228" s="145" t="str">
        <f t="shared" si="121"/>
        <v>Non priorisé</v>
      </c>
      <c r="E228" s="164">
        <f t="shared" si="122"/>
        <v>0</v>
      </c>
      <c r="F228" s="164">
        <f t="shared" ca="1" si="122"/>
        <v>2044.4444444444441</v>
      </c>
      <c r="G228" s="164">
        <f t="shared" ref="G228:Y228" ca="1" si="135">G199*G$95</f>
        <v>1951.515151515151</v>
      </c>
      <c r="H228" s="164">
        <f t="shared" ca="1" si="135"/>
        <v>1862.809917355371</v>
      </c>
      <c r="I228" s="164">
        <f t="shared" ca="1" si="135"/>
        <v>1778.1367392937636</v>
      </c>
      <c r="J228" s="164">
        <f t="shared" ca="1" si="135"/>
        <v>1697.3123420531379</v>
      </c>
      <c r="K228" s="164">
        <f t="shared" ca="1" si="135"/>
        <v>1620.1617810507225</v>
      </c>
      <c r="L228" s="164">
        <f t="shared" ca="1" si="135"/>
        <v>1546.5180637302351</v>
      </c>
      <c r="M228" s="164">
        <f t="shared" ca="1" si="135"/>
        <v>1476.2217881061335</v>
      </c>
      <c r="N228" s="164">
        <f t="shared" ca="1" si="135"/>
        <v>1409.120797737673</v>
      </c>
      <c r="O228" s="164">
        <f t="shared" ca="1" si="135"/>
        <v>1345.0698523859605</v>
      </c>
      <c r="P228" s="164">
        <f t="shared" ca="1" si="135"/>
        <v>1283.9303136411438</v>
      </c>
      <c r="Q228" s="164">
        <f t="shared" ca="1" si="135"/>
        <v>1225.5698448392736</v>
      </c>
      <c r="R228" s="164">
        <f t="shared" ca="1" si="135"/>
        <v>1169.862124619307</v>
      </c>
      <c r="S228" s="164">
        <f t="shared" ca="1" si="135"/>
        <v>1116.6865735002473</v>
      </c>
      <c r="T228" s="164">
        <f t="shared" ca="1" si="135"/>
        <v>1065.9280928865996</v>
      </c>
      <c r="U228" s="164">
        <f t="shared" ca="1" si="135"/>
        <v>1017.4768159372089</v>
      </c>
      <c r="V228" s="164">
        <f t="shared" ca="1" si="135"/>
        <v>971.22786975824499</v>
      </c>
      <c r="W228" s="164">
        <f t="shared" ca="1" si="135"/>
        <v>927.08114840559745</v>
      </c>
      <c r="X228" s="164">
        <f t="shared" ca="1" si="135"/>
        <v>884.94109620534266</v>
      </c>
      <c r="Y228" s="164">
        <f t="shared" ca="1" si="135"/>
        <v>844.71650092328184</v>
      </c>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97"/>
      <c r="BA228" s="197"/>
      <c r="BB228" s="197"/>
      <c r="BC228" s="197"/>
      <c r="BD228" s="197"/>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118"/>
      <c r="CE228" s="118"/>
    </row>
    <row r="229" spans="1:83" s="38" customFormat="1" ht="14" hidden="1" x14ac:dyDescent="0.3">
      <c r="A229" s="37"/>
      <c r="B229" s="37"/>
      <c r="C229" s="41" t="s">
        <v>287</v>
      </c>
      <c r="D229" s="145">
        <f t="shared" si="121"/>
        <v>0</v>
      </c>
      <c r="E229" s="164">
        <f t="shared" si="122"/>
        <v>0</v>
      </c>
      <c r="F229" s="164">
        <f t="shared" ca="1" si="122"/>
        <v>0</v>
      </c>
      <c r="G229" s="164">
        <f t="shared" ref="G229:Y229" ca="1" si="136">G200*G$95</f>
        <v>0</v>
      </c>
      <c r="H229" s="164">
        <f t="shared" ca="1" si="136"/>
        <v>0</v>
      </c>
      <c r="I229" s="164">
        <f t="shared" ca="1" si="136"/>
        <v>0</v>
      </c>
      <c r="J229" s="164">
        <f t="shared" ca="1" si="136"/>
        <v>0</v>
      </c>
      <c r="K229" s="164">
        <f t="shared" ca="1" si="136"/>
        <v>0</v>
      </c>
      <c r="L229" s="164">
        <f t="shared" ca="1" si="136"/>
        <v>0</v>
      </c>
      <c r="M229" s="164">
        <f t="shared" ca="1" si="136"/>
        <v>0</v>
      </c>
      <c r="N229" s="164">
        <f t="shared" ca="1" si="136"/>
        <v>0</v>
      </c>
      <c r="O229" s="164">
        <f t="shared" ca="1" si="136"/>
        <v>0</v>
      </c>
      <c r="P229" s="164">
        <f t="shared" ca="1" si="136"/>
        <v>0</v>
      </c>
      <c r="Q229" s="164">
        <f t="shared" ca="1" si="136"/>
        <v>0</v>
      </c>
      <c r="R229" s="164">
        <f t="shared" ca="1" si="136"/>
        <v>0</v>
      </c>
      <c r="S229" s="164">
        <f t="shared" ca="1" si="136"/>
        <v>0</v>
      </c>
      <c r="T229" s="164">
        <f t="shared" ca="1" si="136"/>
        <v>0</v>
      </c>
      <c r="U229" s="164">
        <f t="shared" ca="1" si="136"/>
        <v>0</v>
      </c>
      <c r="V229" s="164">
        <f t="shared" ca="1" si="136"/>
        <v>0</v>
      </c>
      <c r="W229" s="164">
        <f t="shared" ca="1" si="136"/>
        <v>0</v>
      </c>
      <c r="X229" s="164">
        <f t="shared" ca="1" si="136"/>
        <v>0</v>
      </c>
      <c r="Y229" s="164">
        <f t="shared" ca="1" si="136"/>
        <v>0</v>
      </c>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97"/>
      <c r="BA229" s="197"/>
      <c r="BB229" s="197"/>
      <c r="BC229" s="197"/>
      <c r="BD229" s="197"/>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118"/>
      <c r="CE229" s="118"/>
    </row>
    <row r="230" spans="1:83" s="38" customFormat="1" ht="14" hidden="1" x14ac:dyDescent="0.3">
      <c r="A230" s="37"/>
      <c r="B230" s="37"/>
      <c r="C230" s="41" t="s">
        <v>288</v>
      </c>
      <c r="D230" s="145">
        <f t="shared" si="121"/>
        <v>0</v>
      </c>
      <c r="E230" s="164">
        <f t="shared" si="122"/>
        <v>0</v>
      </c>
      <c r="F230" s="164">
        <f t="shared" ca="1" si="122"/>
        <v>0</v>
      </c>
      <c r="G230" s="164">
        <f t="shared" ref="G230:Y230" ca="1" si="137">G201*G$95</f>
        <v>0</v>
      </c>
      <c r="H230" s="164">
        <f t="shared" ca="1" si="137"/>
        <v>0</v>
      </c>
      <c r="I230" s="164">
        <f t="shared" ca="1" si="137"/>
        <v>0</v>
      </c>
      <c r="J230" s="164">
        <f t="shared" ca="1" si="137"/>
        <v>0</v>
      </c>
      <c r="K230" s="164">
        <f t="shared" ca="1" si="137"/>
        <v>0</v>
      </c>
      <c r="L230" s="164">
        <f t="shared" ca="1" si="137"/>
        <v>0</v>
      </c>
      <c r="M230" s="164">
        <f t="shared" ca="1" si="137"/>
        <v>0</v>
      </c>
      <c r="N230" s="164">
        <f t="shared" ca="1" si="137"/>
        <v>0</v>
      </c>
      <c r="O230" s="164">
        <f t="shared" ca="1" si="137"/>
        <v>0</v>
      </c>
      <c r="P230" s="164">
        <f t="shared" ca="1" si="137"/>
        <v>0</v>
      </c>
      <c r="Q230" s="164">
        <f t="shared" ca="1" si="137"/>
        <v>0</v>
      </c>
      <c r="R230" s="164">
        <f t="shared" ca="1" si="137"/>
        <v>0</v>
      </c>
      <c r="S230" s="164">
        <f t="shared" ca="1" si="137"/>
        <v>0</v>
      </c>
      <c r="T230" s="164">
        <f t="shared" ca="1" si="137"/>
        <v>0</v>
      </c>
      <c r="U230" s="164">
        <f t="shared" ca="1" si="137"/>
        <v>0</v>
      </c>
      <c r="V230" s="164">
        <f t="shared" ca="1" si="137"/>
        <v>0</v>
      </c>
      <c r="W230" s="164">
        <f t="shared" ca="1" si="137"/>
        <v>0</v>
      </c>
      <c r="X230" s="164">
        <f t="shared" ca="1" si="137"/>
        <v>0</v>
      </c>
      <c r="Y230" s="164">
        <f t="shared" ca="1" si="137"/>
        <v>0</v>
      </c>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97"/>
      <c r="BA230" s="197"/>
      <c r="BB230" s="197"/>
      <c r="BC230" s="197"/>
      <c r="BD230" s="197"/>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118"/>
      <c r="CE230" s="118"/>
    </row>
    <row r="231" spans="1:83" s="38" customFormat="1" ht="14" hidden="1" x14ac:dyDescent="0.3">
      <c r="A231" s="37"/>
      <c r="B231" s="37"/>
      <c r="C231" s="41" t="s">
        <v>289</v>
      </c>
      <c r="D231" s="145">
        <f t="shared" si="121"/>
        <v>0</v>
      </c>
      <c r="E231" s="164">
        <f t="shared" si="122"/>
        <v>0</v>
      </c>
      <c r="F231" s="164">
        <f t="shared" ca="1" si="122"/>
        <v>0</v>
      </c>
      <c r="G231" s="164">
        <f t="shared" ref="G231:Y231" ca="1" si="138">G202*G$95</f>
        <v>0</v>
      </c>
      <c r="H231" s="164">
        <f t="shared" ca="1" si="138"/>
        <v>0</v>
      </c>
      <c r="I231" s="164">
        <f t="shared" ca="1" si="138"/>
        <v>0</v>
      </c>
      <c r="J231" s="164">
        <f t="shared" ca="1" si="138"/>
        <v>0</v>
      </c>
      <c r="K231" s="164">
        <f t="shared" ca="1" si="138"/>
        <v>0</v>
      </c>
      <c r="L231" s="164">
        <f t="shared" ca="1" si="138"/>
        <v>0</v>
      </c>
      <c r="M231" s="164">
        <f t="shared" ca="1" si="138"/>
        <v>0</v>
      </c>
      <c r="N231" s="164">
        <f t="shared" ca="1" si="138"/>
        <v>0</v>
      </c>
      <c r="O231" s="164">
        <f t="shared" ca="1" si="138"/>
        <v>0</v>
      </c>
      <c r="P231" s="164">
        <f t="shared" ca="1" si="138"/>
        <v>0</v>
      </c>
      <c r="Q231" s="164">
        <f t="shared" ca="1" si="138"/>
        <v>0</v>
      </c>
      <c r="R231" s="164">
        <f t="shared" ca="1" si="138"/>
        <v>0</v>
      </c>
      <c r="S231" s="164">
        <f t="shared" ca="1" si="138"/>
        <v>0</v>
      </c>
      <c r="T231" s="164">
        <f t="shared" ca="1" si="138"/>
        <v>0</v>
      </c>
      <c r="U231" s="164">
        <f t="shared" ca="1" si="138"/>
        <v>0</v>
      </c>
      <c r="V231" s="164">
        <f t="shared" ca="1" si="138"/>
        <v>0</v>
      </c>
      <c r="W231" s="164">
        <f t="shared" ca="1" si="138"/>
        <v>0</v>
      </c>
      <c r="X231" s="164">
        <f t="shared" ca="1" si="138"/>
        <v>0</v>
      </c>
      <c r="Y231" s="164">
        <f t="shared" ca="1" si="138"/>
        <v>0</v>
      </c>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97"/>
      <c r="BA231" s="197"/>
      <c r="BB231" s="197"/>
      <c r="BC231" s="197"/>
      <c r="BD231" s="197"/>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118"/>
      <c r="CE231" s="118"/>
    </row>
    <row r="232" spans="1:83" s="38" customFormat="1" ht="14" hidden="1" x14ac:dyDescent="0.3">
      <c r="A232" s="37"/>
      <c r="B232" s="37"/>
      <c r="C232" s="41" t="s">
        <v>290</v>
      </c>
      <c r="D232" s="145">
        <f t="shared" si="121"/>
        <v>0</v>
      </c>
      <c r="E232" s="164">
        <f t="shared" si="122"/>
        <v>0</v>
      </c>
      <c r="F232" s="164">
        <f t="shared" ca="1" si="122"/>
        <v>0</v>
      </c>
      <c r="G232" s="164">
        <f t="shared" ref="G232:Y232" ca="1" si="139">G203*G$95</f>
        <v>0</v>
      </c>
      <c r="H232" s="164">
        <f t="shared" ca="1" si="139"/>
        <v>0</v>
      </c>
      <c r="I232" s="164">
        <f t="shared" ca="1" si="139"/>
        <v>0</v>
      </c>
      <c r="J232" s="164">
        <f t="shared" ca="1" si="139"/>
        <v>0</v>
      </c>
      <c r="K232" s="164">
        <f t="shared" ca="1" si="139"/>
        <v>0</v>
      </c>
      <c r="L232" s="164">
        <f t="shared" ca="1" si="139"/>
        <v>0</v>
      </c>
      <c r="M232" s="164">
        <f t="shared" ca="1" si="139"/>
        <v>0</v>
      </c>
      <c r="N232" s="164">
        <f t="shared" ca="1" si="139"/>
        <v>0</v>
      </c>
      <c r="O232" s="164">
        <f t="shared" ca="1" si="139"/>
        <v>0</v>
      </c>
      <c r="P232" s="164">
        <f t="shared" ca="1" si="139"/>
        <v>0</v>
      </c>
      <c r="Q232" s="164">
        <f t="shared" ca="1" si="139"/>
        <v>0</v>
      </c>
      <c r="R232" s="164">
        <f t="shared" ca="1" si="139"/>
        <v>0</v>
      </c>
      <c r="S232" s="164">
        <f t="shared" ca="1" si="139"/>
        <v>0</v>
      </c>
      <c r="T232" s="164">
        <f t="shared" ca="1" si="139"/>
        <v>0</v>
      </c>
      <c r="U232" s="164">
        <f t="shared" ca="1" si="139"/>
        <v>0</v>
      </c>
      <c r="V232" s="164">
        <f t="shared" ca="1" si="139"/>
        <v>0</v>
      </c>
      <c r="W232" s="164">
        <f t="shared" ca="1" si="139"/>
        <v>0</v>
      </c>
      <c r="X232" s="164">
        <f t="shared" ca="1" si="139"/>
        <v>0</v>
      </c>
      <c r="Y232" s="164">
        <f t="shared" ca="1" si="139"/>
        <v>0</v>
      </c>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97"/>
      <c r="BA232" s="197"/>
      <c r="BB232" s="197"/>
      <c r="BC232" s="197"/>
      <c r="BD232" s="197"/>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118"/>
      <c r="CE232" s="118"/>
    </row>
    <row r="233" spans="1:83" s="38" customFormat="1" ht="14" hidden="1" x14ac:dyDescent="0.3">
      <c r="A233" s="37"/>
      <c r="B233" s="37"/>
      <c r="C233" s="41" t="s">
        <v>291</v>
      </c>
      <c r="D233" s="145">
        <f t="shared" si="121"/>
        <v>0</v>
      </c>
      <c r="E233" s="164">
        <f t="shared" si="122"/>
        <v>0</v>
      </c>
      <c r="F233" s="164">
        <f t="shared" ca="1" si="122"/>
        <v>0</v>
      </c>
      <c r="G233" s="164">
        <f t="shared" ref="G233:Y233" ca="1" si="140">G204*G$95</f>
        <v>0</v>
      </c>
      <c r="H233" s="164">
        <f t="shared" ca="1" si="140"/>
        <v>0</v>
      </c>
      <c r="I233" s="164">
        <f t="shared" ca="1" si="140"/>
        <v>0</v>
      </c>
      <c r="J233" s="164">
        <f t="shared" ca="1" si="140"/>
        <v>0</v>
      </c>
      <c r="K233" s="164">
        <f t="shared" ca="1" si="140"/>
        <v>0</v>
      </c>
      <c r="L233" s="164">
        <f t="shared" ca="1" si="140"/>
        <v>0</v>
      </c>
      <c r="M233" s="164">
        <f t="shared" ca="1" si="140"/>
        <v>0</v>
      </c>
      <c r="N233" s="164">
        <f t="shared" ca="1" si="140"/>
        <v>0</v>
      </c>
      <c r="O233" s="164">
        <f t="shared" ca="1" si="140"/>
        <v>0</v>
      </c>
      <c r="P233" s="164">
        <f t="shared" ca="1" si="140"/>
        <v>0</v>
      </c>
      <c r="Q233" s="164">
        <f t="shared" ca="1" si="140"/>
        <v>0</v>
      </c>
      <c r="R233" s="164">
        <f t="shared" ca="1" si="140"/>
        <v>0</v>
      </c>
      <c r="S233" s="164">
        <f t="shared" ca="1" si="140"/>
        <v>0</v>
      </c>
      <c r="T233" s="164">
        <f t="shared" ca="1" si="140"/>
        <v>0</v>
      </c>
      <c r="U233" s="164">
        <f t="shared" ca="1" si="140"/>
        <v>0</v>
      </c>
      <c r="V233" s="164">
        <f t="shared" ca="1" si="140"/>
        <v>0</v>
      </c>
      <c r="W233" s="164">
        <f t="shared" ca="1" si="140"/>
        <v>0</v>
      </c>
      <c r="X233" s="164">
        <f t="shared" ca="1" si="140"/>
        <v>0</v>
      </c>
      <c r="Y233" s="164">
        <f t="shared" ca="1" si="140"/>
        <v>0</v>
      </c>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97"/>
      <c r="BA233" s="197"/>
      <c r="BB233" s="197"/>
      <c r="BC233" s="197"/>
      <c r="BD233" s="197"/>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118"/>
      <c r="CE233" s="118"/>
    </row>
    <row r="234" spans="1:83" s="38" customFormat="1" ht="14" hidden="1" x14ac:dyDescent="0.3">
      <c r="A234" s="37"/>
      <c r="B234" s="37"/>
      <c r="C234" s="41" t="s">
        <v>292</v>
      </c>
      <c r="D234" s="145">
        <f t="shared" si="121"/>
        <v>0</v>
      </c>
      <c r="E234" s="164">
        <f t="shared" si="122"/>
        <v>0</v>
      </c>
      <c r="F234" s="164">
        <f t="shared" ca="1" si="122"/>
        <v>0</v>
      </c>
      <c r="G234" s="164">
        <f t="shared" ref="G234:Y234" ca="1" si="141">G205*G$95</f>
        <v>0</v>
      </c>
      <c r="H234" s="164">
        <f t="shared" ca="1" si="141"/>
        <v>0</v>
      </c>
      <c r="I234" s="164">
        <f t="shared" ca="1" si="141"/>
        <v>0</v>
      </c>
      <c r="J234" s="164">
        <f t="shared" ca="1" si="141"/>
        <v>0</v>
      </c>
      <c r="K234" s="164">
        <f t="shared" ca="1" si="141"/>
        <v>0</v>
      </c>
      <c r="L234" s="164">
        <f t="shared" ca="1" si="141"/>
        <v>0</v>
      </c>
      <c r="M234" s="164">
        <f t="shared" ca="1" si="141"/>
        <v>0</v>
      </c>
      <c r="N234" s="164">
        <f t="shared" ca="1" si="141"/>
        <v>0</v>
      </c>
      <c r="O234" s="164">
        <f t="shared" ca="1" si="141"/>
        <v>0</v>
      </c>
      <c r="P234" s="164">
        <f t="shared" ca="1" si="141"/>
        <v>0</v>
      </c>
      <c r="Q234" s="164">
        <f t="shared" ca="1" si="141"/>
        <v>0</v>
      </c>
      <c r="R234" s="164">
        <f t="shared" ca="1" si="141"/>
        <v>0</v>
      </c>
      <c r="S234" s="164">
        <f t="shared" ca="1" si="141"/>
        <v>0</v>
      </c>
      <c r="T234" s="164">
        <f t="shared" ca="1" si="141"/>
        <v>0</v>
      </c>
      <c r="U234" s="164">
        <f t="shared" ca="1" si="141"/>
        <v>0</v>
      </c>
      <c r="V234" s="164">
        <f t="shared" ca="1" si="141"/>
        <v>0</v>
      </c>
      <c r="W234" s="164">
        <f t="shared" ca="1" si="141"/>
        <v>0</v>
      </c>
      <c r="X234" s="164">
        <f t="shared" ca="1" si="141"/>
        <v>0</v>
      </c>
      <c r="Y234" s="164">
        <f t="shared" ca="1" si="141"/>
        <v>0</v>
      </c>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97"/>
      <c r="BA234" s="197"/>
      <c r="BB234" s="197"/>
      <c r="BC234" s="197"/>
      <c r="BD234" s="197"/>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118"/>
      <c r="CE234" s="118"/>
    </row>
    <row r="235" spans="1:83" s="38" customFormat="1" ht="14" hidden="1" x14ac:dyDescent="0.3">
      <c r="A235" s="37"/>
      <c r="B235" s="37"/>
      <c r="C235" s="41" t="s">
        <v>293</v>
      </c>
      <c r="D235" s="145">
        <f t="shared" si="121"/>
        <v>0</v>
      </c>
      <c r="E235" s="164">
        <f t="shared" si="122"/>
        <v>0</v>
      </c>
      <c r="F235" s="164">
        <f t="shared" ca="1" si="122"/>
        <v>0</v>
      </c>
      <c r="G235" s="164">
        <f t="shared" ref="G235:Y235" ca="1" si="142">G206*G$95</f>
        <v>0</v>
      </c>
      <c r="H235" s="164">
        <f t="shared" ca="1" si="142"/>
        <v>0</v>
      </c>
      <c r="I235" s="164">
        <f t="shared" ca="1" si="142"/>
        <v>0</v>
      </c>
      <c r="J235" s="164">
        <f t="shared" ca="1" si="142"/>
        <v>0</v>
      </c>
      <c r="K235" s="164">
        <f t="shared" ca="1" si="142"/>
        <v>0</v>
      </c>
      <c r="L235" s="164">
        <f t="shared" ca="1" si="142"/>
        <v>0</v>
      </c>
      <c r="M235" s="164">
        <f t="shared" ca="1" si="142"/>
        <v>0</v>
      </c>
      <c r="N235" s="164">
        <f t="shared" ca="1" si="142"/>
        <v>0</v>
      </c>
      <c r="O235" s="164">
        <f t="shared" ca="1" si="142"/>
        <v>0</v>
      </c>
      <c r="P235" s="164">
        <f t="shared" ca="1" si="142"/>
        <v>0</v>
      </c>
      <c r="Q235" s="164">
        <f t="shared" ca="1" si="142"/>
        <v>0</v>
      </c>
      <c r="R235" s="164">
        <f t="shared" ca="1" si="142"/>
        <v>0</v>
      </c>
      <c r="S235" s="164">
        <f t="shared" ca="1" si="142"/>
        <v>0</v>
      </c>
      <c r="T235" s="164">
        <f t="shared" ca="1" si="142"/>
        <v>0</v>
      </c>
      <c r="U235" s="164">
        <f t="shared" ca="1" si="142"/>
        <v>0</v>
      </c>
      <c r="V235" s="164">
        <f t="shared" ca="1" si="142"/>
        <v>0</v>
      </c>
      <c r="W235" s="164">
        <f t="shared" ca="1" si="142"/>
        <v>0</v>
      </c>
      <c r="X235" s="164">
        <f t="shared" ca="1" si="142"/>
        <v>0</v>
      </c>
      <c r="Y235" s="164">
        <f t="shared" ca="1" si="142"/>
        <v>0</v>
      </c>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97"/>
      <c r="BA235" s="197"/>
      <c r="BB235" s="197"/>
      <c r="BC235" s="197"/>
      <c r="BD235" s="197"/>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118"/>
      <c r="CE235" s="118"/>
    </row>
    <row r="236" spans="1:83" s="141" customFormat="1" ht="14" hidden="1" x14ac:dyDescent="0.3">
      <c r="A236" s="37"/>
      <c r="B236" s="37"/>
      <c r="C236" s="143" t="s">
        <v>108</v>
      </c>
      <c r="D236" s="143" t="s">
        <v>108</v>
      </c>
      <c r="E236" s="166">
        <f>SUM(E216:E235)</f>
        <v>-568900</v>
      </c>
      <c r="F236" s="166">
        <f ca="1">SUM(F216:F235)</f>
        <v>178008.4141414141</v>
      </c>
      <c r="G236" s="166">
        <f t="shared" ref="G236:Y236" ca="1" si="143">SUM(G216:G235)</f>
        <v>170082.41184573001</v>
      </c>
      <c r="H236" s="166">
        <f t="shared" ca="1" si="143"/>
        <v>162501.65608564983</v>
      </c>
      <c r="I236" s="166">
        <f t="shared" ca="1" si="143"/>
        <v>155251.81986373875</v>
      </c>
      <c r="J236" s="166">
        <f t="shared" ca="1" si="143"/>
        <v>148319.10322545341</v>
      </c>
      <c r="K236" s="166">
        <f t="shared" ca="1" si="143"/>
        <v>141690.22059212538</v>
      </c>
      <c r="L236" s="166">
        <f t="shared" ca="1" si="143"/>
        <v>135352.38764340215</v>
      </c>
      <c r="M236" s="166">
        <f t="shared" ca="1" si="143"/>
        <v>129293.30786292581</v>
      </c>
      <c r="N236" s="166">
        <f t="shared" ca="1" si="143"/>
        <v>123501.15884737641</v>
      </c>
      <c r="O236" s="166">
        <f t="shared" ca="1" si="143"/>
        <v>117964.57846674522</v>
      </c>
      <c r="P236" s="166">
        <f t="shared" ca="1" si="143"/>
        <v>112672.65095269852</v>
      </c>
      <c r="Q236" s="166">
        <f t="shared" ca="1" si="143"/>
        <v>107614.89298202703</v>
      </c>
      <c r="R236" s="166">
        <f t="shared" ca="1" si="143"/>
        <v>102781.2398133368</v>
      </c>
      <c r="S236" s="166">
        <f t="shared" ca="1" si="143"/>
        <v>98162.03152722813</v>
      </c>
      <c r="T236" s="166">
        <f t="shared" ca="1" si="143"/>
        <v>93747.999413137048</v>
      </c>
      <c r="U236" s="166">
        <f t="shared" ca="1" si="143"/>
        <v>89530.252539697933</v>
      </c>
      <c r="V236" s="166">
        <f t="shared" ca="1" si="143"/>
        <v>85500.264539855343</v>
      </c>
      <c r="W236" s="166">
        <f t="shared" ca="1" si="143"/>
        <v>81649.860636934682</v>
      </c>
      <c r="X236" s="166">
        <f t="shared" ca="1" si="143"/>
        <v>77971.20493342109</v>
      </c>
      <c r="Y236" s="166">
        <f t="shared" ca="1" si="143"/>
        <v>74456.787980234076</v>
      </c>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7"/>
      <c r="BA236" s="237"/>
      <c r="BB236" s="237"/>
      <c r="BC236" s="237"/>
      <c r="BD236" s="237"/>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236"/>
      <c r="CE236" s="236"/>
    </row>
    <row r="237" spans="1:83" s="38" customFormat="1" ht="14" hidden="1" x14ac:dyDescent="0.3">
      <c r="A237" s="37"/>
      <c r="B237" s="37"/>
      <c r="C237" s="142" t="s">
        <v>281</v>
      </c>
      <c r="D237" s="142" t="s">
        <v>281</v>
      </c>
      <c r="E237" s="166">
        <f t="shared" ref="E237:F240" si="144">SUMPRODUCT(($D$216:$D$235=$C237)*E$216:E$235)</f>
        <v>-111800</v>
      </c>
      <c r="F237" s="166">
        <f t="shared" ca="1" si="144"/>
        <v>88461.565656565639</v>
      </c>
      <c r="G237" s="166">
        <f t="shared" ref="G237:P240" ca="1" si="145">SUMPRODUCT(($D$216:$D$235=$C237)*G$216:G$235)</f>
        <v>84647.196969696961</v>
      </c>
      <c r="H237" s="166">
        <f t="shared" ca="1" si="145"/>
        <v>80987.425807663385</v>
      </c>
      <c r="I237" s="166">
        <f t="shared" ca="1" si="145"/>
        <v>77476.932543883595</v>
      </c>
      <c r="J237" s="166">
        <f t="shared" ca="1" si="145"/>
        <v>74110.484122653681</v>
      </c>
      <c r="K237" s="166">
        <f t="shared" ca="1" si="145"/>
        <v>70882.944235955598</v>
      </c>
      <c r="L237" s="166">
        <f t="shared" ca="1" si="145"/>
        <v>67789.281754788011</v>
      </c>
      <c r="M237" s="166">
        <f t="shared" ca="1" si="145"/>
        <v>64824.577610986438</v>
      </c>
      <c r="N237" s="166">
        <f t="shared" ca="1" si="145"/>
        <v>61984.030305989261</v>
      </c>
      <c r="O237" s="166">
        <f t="shared" ca="1" si="145"/>
        <v>59262.960205347139</v>
      </c>
      <c r="P237" s="166">
        <f t="shared" ca="1" si="145"/>
        <v>56656.812761792607</v>
      </c>
      <c r="Q237" s="166">
        <f t="shared" ref="Q237:Y240" ca="1" si="146">SUMPRODUCT(($D$216:$D$235=$C237)*Q$216:Q$235)</f>
        <v>54161.160795229633</v>
      </c>
      <c r="R237" s="166">
        <f t="shared" ca="1" si="146"/>
        <v>51771.7059449261</v>
      </c>
      <c r="S237" s="166">
        <f t="shared" ca="1" si="146"/>
        <v>49484.279397369603</v>
      </c>
      <c r="T237" s="166">
        <f t="shared" ca="1" si="146"/>
        <v>47294.841982558719</v>
      </c>
      <c r="U237" s="166">
        <f t="shared" ca="1" si="146"/>
        <v>45199.48372184451</v>
      </c>
      <c r="V237" s="166">
        <f t="shared" ca="1" si="146"/>
        <v>43194.422901712976</v>
      </c>
      <c r="W237" s="166">
        <f t="shared" ca="1" si="146"/>
        <v>41276.004740021512</v>
      </c>
      <c r="X237" s="166">
        <f t="shared" ca="1" si="146"/>
        <v>39440.699704090795</v>
      </c>
      <c r="Y237" s="166">
        <f t="shared" ca="1" si="146"/>
        <v>37685.101533638168</v>
      </c>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97"/>
      <c r="BA237" s="197"/>
      <c r="BB237" s="197"/>
      <c r="BC237" s="197"/>
      <c r="BD237" s="197"/>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118"/>
      <c r="CE237" s="118"/>
    </row>
    <row r="238" spans="1:83" s="38" customFormat="1" ht="14" hidden="1" x14ac:dyDescent="0.3">
      <c r="A238" s="37"/>
      <c r="B238" s="37"/>
      <c r="C238" s="41" t="s">
        <v>282</v>
      </c>
      <c r="D238" s="41" t="s">
        <v>282</v>
      </c>
      <c r="E238" s="164">
        <f t="shared" si="144"/>
        <v>-127100</v>
      </c>
      <c r="F238" s="164">
        <f t="shared" ca="1" si="144"/>
        <v>42004.040404040403</v>
      </c>
      <c r="G238" s="164">
        <f t="shared" ca="1" si="145"/>
        <v>40094.765840220382</v>
      </c>
      <c r="H238" s="164">
        <f t="shared" ca="1" si="145"/>
        <v>38272.276483846719</v>
      </c>
      <c r="I238" s="164">
        <f t="shared" ca="1" si="145"/>
        <v>36532.627552762788</v>
      </c>
      <c r="J238" s="164">
        <f t="shared" ca="1" si="145"/>
        <v>34872.053573091747</v>
      </c>
      <c r="K238" s="164">
        <f t="shared" ca="1" si="145"/>
        <v>33286.960228860306</v>
      </c>
      <c r="L238" s="164">
        <f t="shared" ca="1" si="145"/>
        <v>31773.916582093923</v>
      </c>
      <c r="M238" s="164">
        <f t="shared" ca="1" si="145"/>
        <v>30329.647646544199</v>
      </c>
      <c r="N238" s="164">
        <f t="shared" ca="1" si="145"/>
        <v>28951.027298974008</v>
      </c>
      <c r="O238" s="164">
        <f t="shared" ca="1" si="145"/>
        <v>27635.071512657003</v>
      </c>
      <c r="P238" s="164">
        <f t="shared" ca="1" si="145"/>
        <v>26378.93189844532</v>
      </c>
      <c r="Q238" s="164">
        <f t="shared" ca="1" si="146"/>
        <v>25179.889539425079</v>
      </c>
      <c r="R238" s="164">
        <f t="shared" ca="1" si="146"/>
        <v>24035.349105814854</v>
      </c>
      <c r="S238" s="164">
        <f t="shared" ca="1" si="146"/>
        <v>22942.833237368715</v>
      </c>
      <c r="T238" s="164">
        <f t="shared" ca="1" si="146"/>
        <v>21899.977181124683</v>
      </c>
      <c r="U238" s="164">
        <f t="shared" ca="1" si="146"/>
        <v>20904.523672891748</v>
      </c>
      <c r="V238" s="164">
        <f t="shared" ca="1" si="146"/>
        <v>19954.318051396669</v>
      </c>
      <c r="W238" s="164">
        <f t="shared" ca="1" si="146"/>
        <v>19047.303594515004</v>
      </c>
      <c r="X238" s="164">
        <f t="shared" ca="1" si="146"/>
        <v>18181.517067491586</v>
      </c>
      <c r="Y238" s="164">
        <f t="shared" ca="1" si="146"/>
        <v>17355.0844735147</v>
      </c>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97"/>
      <c r="BA238" s="197"/>
      <c r="BB238" s="197"/>
      <c r="BC238" s="197"/>
      <c r="BD238" s="197"/>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118"/>
      <c r="CE238" s="118"/>
    </row>
    <row r="239" spans="1:83" s="38" customFormat="1" ht="14" hidden="1" x14ac:dyDescent="0.3">
      <c r="A239" s="37"/>
      <c r="B239" s="37"/>
      <c r="C239" s="41" t="s">
        <v>283</v>
      </c>
      <c r="D239" s="41" t="s">
        <v>283</v>
      </c>
      <c r="E239" s="164">
        <f t="shared" si="144"/>
        <v>-330000</v>
      </c>
      <c r="F239" s="164">
        <f t="shared" ca="1" si="144"/>
        <v>45498.363636363632</v>
      </c>
      <c r="G239" s="164">
        <f t="shared" ca="1" si="145"/>
        <v>43388.933884297519</v>
      </c>
      <c r="H239" s="164">
        <f t="shared" ca="1" si="145"/>
        <v>41379.143876784365</v>
      </c>
      <c r="I239" s="164">
        <f t="shared" ca="1" si="145"/>
        <v>39464.123027798647</v>
      </c>
      <c r="J239" s="164">
        <f t="shared" ca="1" si="145"/>
        <v>37639.253187654831</v>
      </c>
      <c r="K239" s="164">
        <f t="shared" ca="1" si="145"/>
        <v>35900.154346258751</v>
      </c>
      <c r="L239" s="164">
        <f t="shared" ca="1" si="145"/>
        <v>34242.671242789991</v>
      </c>
      <c r="M239" s="164">
        <f t="shared" ca="1" si="145"/>
        <v>32662.860817289053</v>
      </c>
      <c r="N239" s="164">
        <f t="shared" ca="1" si="145"/>
        <v>31156.980444675468</v>
      </c>
      <c r="O239" s="164">
        <f t="shared" ca="1" si="145"/>
        <v>29721.476896355107</v>
      </c>
      <c r="P239" s="164">
        <f t="shared" ca="1" si="145"/>
        <v>28352.975978819439</v>
      </c>
      <c r="Q239" s="164">
        <f t="shared" ca="1" si="146"/>
        <v>27048.27280253304</v>
      </c>
      <c r="R239" s="164">
        <f t="shared" ca="1" si="146"/>
        <v>25804.322637976526</v>
      </c>
      <c r="S239" s="164">
        <f t="shared" ca="1" si="146"/>
        <v>24618.232318989551</v>
      </c>
      <c r="T239" s="164">
        <f t="shared" ca="1" si="146"/>
        <v>23487.252156567025</v>
      </c>
      <c r="U239" s="164">
        <f t="shared" ca="1" si="146"/>
        <v>22408.768329024471</v>
      </c>
      <c r="V239" s="164">
        <f t="shared" ca="1" si="146"/>
        <v>21380.29571698745</v>
      </c>
      <c r="W239" s="164">
        <f t="shared" ca="1" si="146"/>
        <v>20399.471153992556</v>
      </c>
      <c r="X239" s="164">
        <f t="shared" ca="1" si="146"/>
        <v>19464.047065633378</v>
      </c>
      <c r="Y239" s="164">
        <f t="shared" ca="1" si="146"/>
        <v>18571.88547215793</v>
      </c>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97"/>
      <c r="BA239" s="197"/>
      <c r="BB239" s="197"/>
      <c r="BC239" s="197"/>
      <c r="BD239" s="197"/>
      <c r="BE239" s="60"/>
      <c r="BF239" s="60"/>
      <c r="BG239" s="60"/>
      <c r="BH239" s="60"/>
      <c r="BI239" s="60"/>
      <c r="BJ239" s="60"/>
      <c r="BK239" s="60"/>
      <c r="BL239" s="60"/>
      <c r="BM239" s="60"/>
      <c r="BN239" s="60"/>
      <c r="BO239" s="60"/>
      <c r="BP239" s="60"/>
      <c r="BQ239" s="60"/>
      <c r="BR239" s="60"/>
      <c r="BS239" s="60"/>
      <c r="BT239" s="60"/>
      <c r="BU239" s="60"/>
      <c r="BV239" s="60"/>
      <c r="BW239" s="60"/>
      <c r="BX239" s="60"/>
      <c r="BY239" s="60"/>
      <c r="BZ239" s="60"/>
      <c r="CA239" s="60"/>
      <c r="CB239" s="60"/>
      <c r="CC239" s="60"/>
      <c r="CD239" s="118"/>
      <c r="CE239" s="118"/>
    </row>
    <row r="240" spans="1:83" s="38" customFormat="1" ht="14" hidden="1" x14ac:dyDescent="0.3">
      <c r="A240" s="37"/>
      <c r="B240" s="37"/>
      <c r="C240" s="41"/>
      <c r="D240" s="41" t="s">
        <v>296</v>
      </c>
      <c r="E240" s="164">
        <f t="shared" si="144"/>
        <v>0</v>
      </c>
      <c r="F240" s="164">
        <f t="shared" ca="1" si="144"/>
        <v>0</v>
      </c>
      <c r="G240" s="164">
        <f t="shared" ca="1" si="145"/>
        <v>0</v>
      </c>
      <c r="H240" s="164">
        <f t="shared" ca="1" si="145"/>
        <v>0</v>
      </c>
      <c r="I240" s="164">
        <f t="shared" ca="1" si="145"/>
        <v>0</v>
      </c>
      <c r="J240" s="164">
        <f t="shared" ca="1" si="145"/>
        <v>0</v>
      </c>
      <c r="K240" s="164">
        <f t="shared" ca="1" si="145"/>
        <v>0</v>
      </c>
      <c r="L240" s="164">
        <f t="shared" ca="1" si="145"/>
        <v>0</v>
      </c>
      <c r="M240" s="164">
        <f t="shared" ca="1" si="145"/>
        <v>0</v>
      </c>
      <c r="N240" s="164">
        <f t="shared" ca="1" si="145"/>
        <v>0</v>
      </c>
      <c r="O240" s="164">
        <f t="shared" ca="1" si="145"/>
        <v>0</v>
      </c>
      <c r="P240" s="164">
        <f t="shared" ca="1" si="145"/>
        <v>0</v>
      </c>
      <c r="Q240" s="164">
        <f t="shared" ca="1" si="146"/>
        <v>0</v>
      </c>
      <c r="R240" s="164">
        <f t="shared" ca="1" si="146"/>
        <v>0</v>
      </c>
      <c r="S240" s="164">
        <f t="shared" ca="1" si="146"/>
        <v>0</v>
      </c>
      <c r="T240" s="164">
        <f t="shared" ca="1" si="146"/>
        <v>0</v>
      </c>
      <c r="U240" s="164">
        <f t="shared" ca="1" si="146"/>
        <v>0</v>
      </c>
      <c r="V240" s="164">
        <f t="shared" ca="1" si="146"/>
        <v>0</v>
      </c>
      <c r="W240" s="164">
        <f t="shared" ca="1" si="146"/>
        <v>0</v>
      </c>
      <c r="X240" s="164">
        <f t="shared" ca="1" si="146"/>
        <v>0</v>
      </c>
      <c r="Y240" s="164">
        <f t="shared" ca="1" si="146"/>
        <v>0</v>
      </c>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97"/>
      <c r="BA240" s="197"/>
      <c r="BB240" s="197"/>
      <c r="BC240" s="197"/>
      <c r="BD240" s="197"/>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118"/>
      <c r="CE240" s="118"/>
    </row>
    <row r="241" spans="1:83" s="38" customFormat="1" ht="14" hidden="1" x14ac:dyDescent="0.3">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97"/>
      <c r="BA241" s="197"/>
      <c r="BB241" s="197"/>
      <c r="BC241" s="197"/>
      <c r="BD241" s="197"/>
      <c r="BE241" s="60"/>
      <c r="BF241" s="60"/>
      <c r="BG241" s="60"/>
      <c r="BH241" s="60"/>
      <c r="BI241" s="60"/>
      <c r="BJ241" s="60"/>
      <c r="BK241" s="60"/>
      <c r="BL241" s="60"/>
      <c r="BM241" s="60"/>
      <c r="BN241" s="60"/>
      <c r="BO241" s="60"/>
      <c r="BP241" s="60"/>
      <c r="BQ241" s="60"/>
      <c r="BR241" s="60"/>
      <c r="BS241" s="60"/>
      <c r="BT241" s="60"/>
      <c r="BU241" s="60"/>
      <c r="BV241" s="60"/>
      <c r="BW241" s="60"/>
      <c r="BX241" s="60"/>
      <c r="BY241" s="60"/>
      <c r="BZ241" s="60"/>
      <c r="CA241" s="60"/>
      <c r="CB241" s="60"/>
      <c r="CC241" s="60"/>
      <c r="CD241" s="118"/>
      <c r="CE241" s="118"/>
    </row>
    <row r="242" spans="1:83" s="38" customFormat="1" ht="14" hidden="1" x14ac:dyDescent="0.3">
      <c r="A242" s="37"/>
      <c r="B242" s="37"/>
      <c r="C242" s="37" t="s">
        <v>279</v>
      </c>
      <c r="D242" s="37"/>
      <c r="E242" s="37"/>
      <c r="F242" s="37"/>
      <c r="G242" s="37"/>
      <c r="H242" s="37"/>
      <c r="I242" s="37"/>
      <c r="J242" s="37"/>
      <c r="K242" s="37"/>
      <c r="L242" s="37"/>
      <c r="M242" s="37"/>
      <c r="N242" s="37"/>
      <c r="O242" s="37"/>
      <c r="P242" s="37"/>
      <c r="Q242" s="37"/>
      <c r="R242" s="37"/>
      <c r="S242" s="37"/>
      <c r="T242" s="37"/>
      <c r="U242" s="37"/>
      <c r="V242" s="37"/>
      <c r="W242" s="37"/>
      <c r="X242" s="37"/>
      <c r="Y242" s="37"/>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97"/>
      <c r="BA242" s="197"/>
      <c r="BB242" s="197"/>
      <c r="BC242" s="197"/>
      <c r="BD242" s="197"/>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118"/>
      <c r="CE242" s="118"/>
    </row>
    <row r="243" spans="1:83" s="38" customFormat="1" ht="14" hidden="1" x14ac:dyDescent="0.3">
      <c r="A243" s="37"/>
      <c r="B243" s="37"/>
      <c r="C243" s="37" t="s">
        <v>276</v>
      </c>
      <c r="D243" s="37"/>
      <c r="E243" s="164"/>
      <c r="F243" s="164"/>
      <c r="G243" s="37"/>
      <c r="H243" s="37"/>
      <c r="I243" s="37"/>
      <c r="J243" s="37"/>
      <c r="K243" s="37"/>
      <c r="L243" s="37"/>
      <c r="M243" s="37"/>
      <c r="N243" s="37"/>
      <c r="O243" s="37"/>
      <c r="P243" s="37"/>
      <c r="Q243" s="37"/>
      <c r="R243" s="37"/>
      <c r="S243" s="37"/>
      <c r="T243" s="37"/>
      <c r="U243" s="37"/>
      <c r="V243" s="37"/>
      <c r="W243" s="37"/>
      <c r="X243" s="37"/>
      <c r="Y243" s="37"/>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97"/>
      <c r="BA243" s="197"/>
      <c r="BB243" s="197"/>
      <c r="BC243" s="197"/>
      <c r="BD243" s="197"/>
      <c r="BE243" s="60"/>
      <c r="BF243" s="60"/>
      <c r="BG243" s="60"/>
      <c r="BH243" s="60"/>
      <c r="BI243" s="60"/>
      <c r="BJ243" s="60"/>
      <c r="BK243" s="60"/>
      <c r="BL243" s="60"/>
      <c r="BM243" s="60"/>
      <c r="BN243" s="60"/>
      <c r="BO243" s="60"/>
      <c r="BP243" s="60"/>
      <c r="BQ243" s="60"/>
      <c r="BR243" s="60"/>
      <c r="BS243" s="60"/>
      <c r="BT243" s="60"/>
      <c r="BU243" s="60"/>
      <c r="BV243" s="60"/>
      <c r="BW243" s="60"/>
      <c r="BX243" s="60"/>
      <c r="BY243" s="60"/>
      <c r="BZ243" s="60"/>
      <c r="CA243" s="60"/>
      <c r="CB243" s="60"/>
      <c r="CC243" s="60"/>
      <c r="CD243" s="118"/>
      <c r="CE243" s="118"/>
    </row>
    <row r="244" spans="1:83" s="38" customFormat="1" ht="14" hidden="1" x14ac:dyDescent="0.3">
      <c r="A244" s="139"/>
      <c r="B244" s="139"/>
      <c r="C244" s="167"/>
      <c r="D244" s="168"/>
      <c r="E244" s="139">
        <v>0</v>
      </c>
      <c r="F244" s="139">
        <f t="shared" ref="F244:U244" si="147">E244+1</f>
        <v>1</v>
      </c>
      <c r="G244" s="139">
        <f t="shared" si="147"/>
        <v>2</v>
      </c>
      <c r="H244" s="139">
        <f t="shared" si="147"/>
        <v>3</v>
      </c>
      <c r="I244" s="139">
        <f t="shared" si="147"/>
        <v>4</v>
      </c>
      <c r="J244" s="139">
        <f t="shared" si="147"/>
        <v>5</v>
      </c>
      <c r="K244" s="139">
        <f t="shared" si="147"/>
        <v>6</v>
      </c>
      <c r="L244" s="139">
        <f t="shared" si="147"/>
        <v>7</v>
      </c>
      <c r="M244" s="139">
        <f t="shared" si="147"/>
        <v>8</v>
      </c>
      <c r="N244" s="139">
        <f t="shared" si="147"/>
        <v>9</v>
      </c>
      <c r="O244" s="139">
        <f t="shared" si="147"/>
        <v>10</v>
      </c>
      <c r="P244" s="139">
        <f t="shared" si="147"/>
        <v>11</v>
      </c>
      <c r="Q244" s="139">
        <f t="shared" si="147"/>
        <v>12</v>
      </c>
      <c r="R244" s="139">
        <f t="shared" si="147"/>
        <v>13</v>
      </c>
      <c r="S244" s="139">
        <f t="shared" si="147"/>
        <v>14</v>
      </c>
      <c r="T244" s="139">
        <f t="shared" si="147"/>
        <v>15</v>
      </c>
      <c r="U244" s="139">
        <f t="shared" si="147"/>
        <v>16</v>
      </c>
      <c r="V244" s="139">
        <f>U244+1</f>
        <v>17</v>
      </c>
      <c r="W244" s="139">
        <f>V244+1</f>
        <v>18</v>
      </c>
      <c r="X244" s="139">
        <f>W244+1</f>
        <v>19</v>
      </c>
      <c r="Y244" s="139">
        <f>X244+1</f>
        <v>20</v>
      </c>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97"/>
      <c r="BA244" s="197"/>
      <c r="BB244" s="197"/>
      <c r="BC244" s="197"/>
      <c r="BD244" s="197"/>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118"/>
      <c r="CE244" s="118"/>
    </row>
    <row r="245" spans="1:83" s="38" customFormat="1" ht="14" hidden="1" x14ac:dyDescent="0.3">
      <c r="A245" s="37"/>
      <c r="B245" s="37"/>
      <c r="C245" s="142" t="s">
        <v>113</v>
      </c>
      <c r="D245" s="144" t="str">
        <f t="shared" ref="D245:D264" si="148">D7</f>
        <v>Prioritaire</v>
      </c>
      <c r="E245" s="166">
        <f t="shared" ref="E245:E264" si="149">E100+F100</f>
        <v>-50000</v>
      </c>
      <c r="F245" s="166">
        <f t="shared" ref="F245:F264" ca="1" si="150">F129+F158</f>
        <v>42650.555555555555</v>
      </c>
      <c r="G245" s="166">
        <f t="shared" ref="G245:Y245" ca="1" si="151">G129+G158</f>
        <v>44933.083333333328</v>
      </c>
      <c r="H245" s="166">
        <f t="shared" ca="1" si="151"/>
        <v>47329.737500000003</v>
      </c>
      <c r="I245" s="166">
        <f t="shared" ca="1" si="151"/>
        <v>49846.224375000005</v>
      </c>
      <c r="J245" s="166">
        <f t="shared" ca="1" si="151"/>
        <v>52488.535593750014</v>
      </c>
      <c r="K245" s="166">
        <f t="shared" ca="1" si="151"/>
        <v>55262.96237343752</v>
      </c>
      <c r="L245" s="166">
        <f t="shared" ca="1" si="151"/>
        <v>58176.110492109394</v>
      </c>
      <c r="M245" s="166">
        <f t="shared" ca="1" si="151"/>
        <v>61234.916016714866</v>
      </c>
      <c r="N245" s="166">
        <f t="shared" ca="1" si="151"/>
        <v>64446.661817550601</v>
      </c>
      <c r="O245" s="166">
        <f t="shared" ca="1" si="151"/>
        <v>67818.99490842814</v>
      </c>
      <c r="P245" s="166">
        <f t="shared" ca="1" si="151"/>
        <v>71359.944653849539</v>
      </c>
      <c r="Q245" s="166">
        <f t="shared" ca="1" si="151"/>
        <v>75077.94188654203</v>
      </c>
      <c r="R245" s="166">
        <f t="shared" ca="1" si="151"/>
        <v>78981.838980869143</v>
      </c>
      <c r="S245" s="166">
        <f t="shared" ca="1" si="151"/>
        <v>83080.930929912603</v>
      </c>
      <c r="T245" s="166">
        <f t="shared" ca="1" si="151"/>
        <v>87384.977476408239</v>
      </c>
      <c r="U245" s="166">
        <f t="shared" ca="1" si="151"/>
        <v>91904.226350228651</v>
      </c>
      <c r="V245" s="166">
        <f t="shared" ca="1" si="151"/>
        <v>96649.437667740101</v>
      </c>
      <c r="W245" s="166">
        <f t="shared" ca="1" si="151"/>
        <v>101631.90955112712</v>
      </c>
      <c r="X245" s="166">
        <f t="shared" ca="1" si="151"/>
        <v>106863.50502868346</v>
      </c>
      <c r="Y245" s="166">
        <f t="shared" ca="1" si="151"/>
        <v>112356.68028011764</v>
      </c>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97"/>
      <c r="BA245" s="197"/>
      <c r="BB245" s="197"/>
      <c r="BC245" s="197"/>
      <c r="BD245" s="197"/>
      <c r="BE245" s="60"/>
      <c r="BF245" s="60"/>
      <c r="BG245" s="60"/>
      <c r="BH245" s="60"/>
      <c r="BI245" s="60"/>
      <c r="BJ245" s="60"/>
      <c r="BK245" s="60"/>
      <c r="BL245" s="60"/>
      <c r="BM245" s="60"/>
      <c r="BN245" s="60"/>
      <c r="BO245" s="60"/>
      <c r="BP245" s="60"/>
      <c r="BQ245" s="60"/>
      <c r="BR245" s="60"/>
      <c r="BS245" s="60"/>
      <c r="BT245" s="60"/>
      <c r="BU245" s="60"/>
      <c r="BV245" s="60"/>
      <c r="BW245" s="60"/>
      <c r="BX245" s="60"/>
      <c r="BY245" s="60"/>
      <c r="BZ245" s="60"/>
      <c r="CA245" s="60"/>
      <c r="CB245" s="60"/>
      <c r="CC245" s="60"/>
      <c r="CD245" s="118"/>
      <c r="CE245" s="118"/>
    </row>
    <row r="246" spans="1:83" s="38" customFormat="1" ht="14" hidden="1" x14ac:dyDescent="0.3">
      <c r="A246" s="37"/>
      <c r="B246" s="37"/>
      <c r="C246" s="41" t="s">
        <v>114</v>
      </c>
      <c r="D246" s="145" t="str">
        <f t="shared" si="148"/>
        <v>Très ambitieux</v>
      </c>
      <c r="E246" s="164">
        <f t="shared" si="149"/>
        <v>-31530</v>
      </c>
      <c r="F246" s="164">
        <f t="shared" ca="1" si="150"/>
        <v>5022</v>
      </c>
      <c r="G246" s="164">
        <f t="shared" ref="G246:Y246" ca="1" si="152">G130+G159</f>
        <v>5273.1</v>
      </c>
      <c r="H246" s="164">
        <f t="shared" ca="1" si="152"/>
        <v>5536.7550000000001</v>
      </c>
      <c r="I246" s="164">
        <f t="shared" ca="1" si="152"/>
        <v>5813.5927500000007</v>
      </c>
      <c r="J246" s="164">
        <f t="shared" ca="1" si="152"/>
        <v>6104.2723875000011</v>
      </c>
      <c r="K246" s="164">
        <f t="shared" ca="1" si="152"/>
        <v>6409.4860068750022</v>
      </c>
      <c r="L246" s="164">
        <f t="shared" ca="1" si="152"/>
        <v>6729.960307218752</v>
      </c>
      <c r="M246" s="164">
        <f t="shared" ca="1" si="152"/>
        <v>7066.4583225796896</v>
      </c>
      <c r="N246" s="164">
        <f t="shared" ca="1" si="152"/>
        <v>7419.7812387086742</v>
      </c>
      <c r="O246" s="164">
        <f t="shared" ca="1" si="152"/>
        <v>7790.7703006441088</v>
      </c>
      <c r="P246" s="164">
        <f t="shared" ca="1" si="152"/>
        <v>8180.3088156763142</v>
      </c>
      <c r="Q246" s="164">
        <f t="shared" ca="1" si="152"/>
        <v>8589.3242564601296</v>
      </c>
      <c r="R246" s="164">
        <f t="shared" ca="1" si="152"/>
        <v>9018.790469283138</v>
      </c>
      <c r="S246" s="164">
        <f t="shared" ca="1" si="152"/>
        <v>9469.7299927472941</v>
      </c>
      <c r="T246" s="164">
        <f t="shared" ca="1" si="152"/>
        <v>9943.2164923846594</v>
      </c>
      <c r="U246" s="164">
        <f t="shared" ca="1" si="152"/>
        <v>10440.377317003893</v>
      </c>
      <c r="V246" s="164">
        <f t="shared" ca="1" si="152"/>
        <v>10962.396182854089</v>
      </c>
      <c r="W246" s="164">
        <f t="shared" ca="1" si="152"/>
        <v>11510.515991996795</v>
      </c>
      <c r="X246" s="164">
        <f t="shared" ca="1" si="152"/>
        <v>12086.041791596634</v>
      </c>
      <c r="Y246" s="164">
        <f t="shared" ca="1" si="152"/>
        <v>12690.343881176466</v>
      </c>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97"/>
      <c r="BA246" s="197"/>
      <c r="BB246" s="197"/>
      <c r="BC246" s="197"/>
      <c r="BD246" s="197"/>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118"/>
      <c r="CE246" s="118"/>
    </row>
    <row r="247" spans="1:83" s="38" customFormat="1" ht="14" hidden="1" x14ac:dyDescent="0.3">
      <c r="A247" s="37"/>
      <c r="B247" s="37"/>
      <c r="C247" s="41" t="s">
        <v>115</v>
      </c>
      <c r="D247" s="145" t="str">
        <f t="shared" si="148"/>
        <v>Très ambitieux</v>
      </c>
      <c r="E247" s="164">
        <f t="shared" si="149"/>
        <v>-53340</v>
      </c>
      <c r="F247" s="164">
        <f t="shared" ca="1" si="150"/>
        <v>9453.7000000000007</v>
      </c>
      <c r="G247" s="164">
        <f t="shared" ref="G247:Y247" ca="1" si="153">G131+G160</f>
        <v>9876.385000000002</v>
      </c>
      <c r="H247" s="164">
        <f t="shared" ca="1" si="153"/>
        <v>10320.204250000001</v>
      </c>
      <c r="I247" s="164">
        <f t="shared" ca="1" si="153"/>
        <v>10786.214462500002</v>
      </c>
      <c r="J247" s="164">
        <f t="shared" ca="1" si="153"/>
        <v>11275.525185625003</v>
      </c>
      <c r="K247" s="164">
        <f t="shared" ca="1" si="153"/>
        <v>11789.301444906254</v>
      </c>
      <c r="L247" s="164">
        <f t="shared" ca="1" si="153"/>
        <v>12328.766517151567</v>
      </c>
      <c r="M247" s="164">
        <f t="shared" ca="1" si="153"/>
        <v>12895.204843009145</v>
      </c>
      <c r="N247" s="164">
        <f t="shared" ca="1" si="153"/>
        <v>13489.965085159603</v>
      </c>
      <c r="O247" s="164">
        <f t="shared" ca="1" si="153"/>
        <v>14114.463339417583</v>
      </c>
      <c r="P247" s="164">
        <f t="shared" ca="1" si="153"/>
        <v>14770.186506388463</v>
      </c>
      <c r="Q247" s="164">
        <f t="shared" ca="1" si="153"/>
        <v>15458.695831707886</v>
      </c>
      <c r="R247" s="164">
        <f t="shared" ca="1" si="153"/>
        <v>16181.630623293282</v>
      </c>
      <c r="S247" s="164">
        <f t="shared" ca="1" si="153"/>
        <v>16940.71215445795</v>
      </c>
      <c r="T247" s="164">
        <f t="shared" ca="1" si="153"/>
        <v>17737.747762180847</v>
      </c>
      <c r="U247" s="164">
        <f t="shared" ca="1" si="153"/>
        <v>18574.635150289891</v>
      </c>
      <c r="V247" s="164">
        <f t="shared" ca="1" si="153"/>
        <v>19453.366907804386</v>
      </c>
      <c r="W247" s="164">
        <f t="shared" ca="1" si="153"/>
        <v>20376.035253194608</v>
      </c>
      <c r="X247" s="164">
        <f t="shared" ca="1" si="153"/>
        <v>21344.837015854337</v>
      </c>
      <c r="Y247" s="164">
        <f t="shared" ca="1" si="153"/>
        <v>22362.078866647054</v>
      </c>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97"/>
      <c r="BA247" s="197"/>
      <c r="BB247" s="197"/>
      <c r="BC247" s="197"/>
      <c r="BD247" s="197"/>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118"/>
      <c r="CE247" s="118"/>
    </row>
    <row r="248" spans="1:83" s="38" customFormat="1" ht="14" hidden="1" x14ac:dyDescent="0.3">
      <c r="A248" s="37"/>
      <c r="B248" s="37"/>
      <c r="C248" s="41" t="s">
        <v>116</v>
      </c>
      <c r="D248" s="145" t="str">
        <f t="shared" si="148"/>
        <v>Très ambitieux</v>
      </c>
      <c r="E248" s="164">
        <f t="shared" si="149"/>
        <v>-49500</v>
      </c>
      <c r="F248" s="164">
        <f t="shared" ca="1" si="150"/>
        <v>9207</v>
      </c>
      <c r="G248" s="164">
        <f t="shared" ref="G248:Y248" ca="1" si="154">G132+G161</f>
        <v>9667.35</v>
      </c>
      <c r="H248" s="164">
        <f t="shared" ca="1" si="154"/>
        <v>10150.717500000001</v>
      </c>
      <c r="I248" s="164">
        <f t="shared" ca="1" si="154"/>
        <v>10658.253375000002</v>
      </c>
      <c r="J248" s="164">
        <f t="shared" ca="1" si="154"/>
        <v>11191.166043750001</v>
      </c>
      <c r="K248" s="164">
        <f t="shared" ca="1" si="154"/>
        <v>11750.724345937504</v>
      </c>
      <c r="L248" s="164">
        <f t="shared" ca="1" si="154"/>
        <v>12338.260563234378</v>
      </c>
      <c r="M248" s="164">
        <f t="shared" ca="1" si="154"/>
        <v>12955.173591396098</v>
      </c>
      <c r="N248" s="164">
        <f t="shared" ca="1" si="154"/>
        <v>13602.932270965903</v>
      </c>
      <c r="O248" s="164">
        <f t="shared" ca="1" si="154"/>
        <v>14283.0788845142</v>
      </c>
      <c r="P248" s="164">
        <f t="shared" ca="1" si="154"/>
        <v>14997.232828739909</v>
      </c>
      <c r="Q248" s="164">
        <f t="shared" ca="1" si="154"/>
        <v>15747.094470176906</v>
      </c>
      <c r="R248" s="164">
        <f t="shared" ca="1" si="154"/>
        <v>16534.449193685752</v>
      </c>
      <c r="S248" s="164">
        <f t="shared" ca="1" si="154"/>
        <v>17361.171653370038</v>
      </c>
      <c r="T248" s="164">
        <f t="shared" ca="1" si="154"/>
        <v>18229.230236038544</v>
      </c>
      <c r="U248" s="164">
        <f t="shared" ca="1" si="154"/>
        <v>19140.691747840472</v>
      </c>
      <c r="V248" s="164">
        <f t="shared" ca="1" si="154"/>
        <v>20097.726335232499</v>
      </c>
      <c r="W248" s="164">
        <f t="shared" ca="1" si="154"/>
        <v>21102.612651994124</v>
      </c>
      <c r="X248" s="164">
        <f t="shared" ca="1" si="154"/>
        <v>22157.743284593831</v>
      </c>
      <c r="Y248" s="164">
        <f t="shared" ca="1" si="154"/>
        <v>23265.630448823522</v>
      </c>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97"/>
      <c r="BA248" s="197"/>
      <c r="BB248" s="197"/>
      <c r="BC248" s="197"/>
      <c r="BD248" s="197"/>
      <c r="BE248" s="60"/>
      <c r="BF248" s="60"/>
      <c r="BG248" s="60"/>
      <c r="BH248" s="60"/>
      <c r="BI248" s="60"/>
      <c r="BJ248" s="60"/>
      <c r="BK248" s="60"/>
      <c r="BL248" s="60"/>
      <c r="BM248" s="60"/>
      <c r="BN248" s="60"/>
      <c r="BO248" s="60"/>
      <c r="BP248" s="60"/>
      <c r="BQ248" s="60"/>
      <c r="BR248" s="60"/>
      <c r="BS248" s="60"/>
      <c r="BT248" s="60"/>
      <c r="BU248" s="60"/>
      <c r="BV248" s="60"/>
      <c r="BW248" s="60"/>
      <c r="BX248" s="60"/>
      <c r="BY248" s="60"/>
      <c r="BZ248" s="60"/>
      <c r="CA248" s="60"/>
      <c r="CB248" s="60"/>
      <c r="CC248" s="60"/>
      <c r="CD248" s="118"/>
      <c r="CE248" s="118"/>
    </row>
    <row r="249" spans="1:83" s="38" customFormat="1" ht="14" hidden="1" x14ac:dyDescent="0.3">
      <c r="A249" s="37"/>
      <c r="B249" s="37"/>
      <c r="C249" s="41" t="s">
        <v>117</v>
      </c>
      <c r="D249" s="145" t="str">
        <f t="shared" si="148"/>
        <v>Prioritaire</v>
      </c>
      <c r="E249" s="164">
        <f t="shared" si="149"/>
        <v>-1500</v>
      </c>
      <c r="F249" s="164">
        <f t="shared" ca="1" si="150"/>
        <v>7288.5</v>
      </c>
      <c r="G249" s="164">
        <f t="shared" ref="G249:Y249" ca="1" si="155">G133+G162</f>
        <v>7727.9250000000011</v>
      </c>
      <c r="H249" s="164">
        <f t="shared" ca="1" si="155"/>
        <v>8189.3212500000009</v>
      </c>
      <c r="I249" s="164">
        <f t="shared" ca="1" si="155"/>
        <v>8673.7873125000006</v>
      </c>
      <c r="J249" s="164">
        <f t="shared" ca="1" si="155"/>
        <v>9182.4766781250019</v>
      </c>
      <c r="K249" s="164">
        <f t="shared" ca="1" si="155"/>
        <v>9716.6005120312529</v>
      </c>
      <c r="L249" s="164">
        <f t="shared" ca="1" si="155"/>
        <v>10277.430537632816</v>
      </c>
      <c r="M249" s="164">
        <f t="shared" ca="1" si="155"/>
        <v>10866.302064514457</v>
      </c>
      <c r="N249" s="164">
        <f t="shared" ca="1" si="155"/>
        <v>11484.61716774018</v>
      </c>
      <c r="O249" s="164">
        <f t="shared" ca="1" si="155"/>
        <v>12133.848026127191</v>
      </c>
      <c r="P249" s="164">
        <f t="shared" ca="1" si="155"/>
        <v>12815.540427433549</v>
      </c>
      <c r="Q249" s="164">
        <f t="shared" ca="1" si="155"/>
        <v>13531.317448805228</v>
      </c>
      <c r="R249" s="164">
        <f t="shared" ca="1" si="155"/>
        <v>14282.88332124549</v>
      </c>
      <c r="S249" s="164">
        <f t="shared" ca="1" si="155"/>
        <v>15072.027487307765</v>
      </c>
      <c r="T249" s="164">
        <f t="shared" ca="1" si="155"/>
        <v>15900.628861673154</v>
      </c>
      <c r="U249" s="164">
        <f t="shared" ca="1" si="155"/>
        <v>16770.660304756813</v>
      </c>
      <c r="V249" s="164">
        <f t="shared" ca="1" si="155"/>
        <v>17684.193319994658</v>
      </c>
      <c r="W249" s="164">
        <f t="shared" ca="1" si="155"/>
        <v>18643.402985994391</v>
      </c>
      <c r="X249" s="164">
        <f t="shared" ca="1" si="155"/>
        <v>19650.573135294111</v>
      </c>
      <c r="Y249" s="164">
        <f t="shared" ca="1" si="155"/>
        <v>20708.101792058816</v>
      </c>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97"/>
      <c r="BA249" s="197"/>
      <c r="BB249" s="197"/>
      <c r="BC249" s="197"/>
      <c r="BD249" s="197"/>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118"/>
      <c r="CE249" s="118"/>
    </row>
    <row r="250" spans="1:83" s="38" customFormat="1" ht="14" hidden="1" x14ac:dyDescent="0.3">
      <c r="A250" s="37"/>
      <c r="B250" s="37"/>
      <c r="C250" s="41" t="s">
        <v>118</v>
      </c>
      <c r="D250" s="145" t="str">
        <f t="shared" si="148"/>
        <v>Ambitieux</v>
      </c>
      <c r="E250" s="164">
        <f t="shared" si="149"/>
        <v>-62100</v>
      </c>
      <c r="F250" s="164">
        <f t="shared" ca="1" si="150"/>
        <v>17582.222222222223</v>
      </c>
      <c r="G250" s="164">
        <f t="shared" ref="G250:Y250" ca="1" si="156">G134+G163</f>
        <v>18461.333333333336</v>
      </c>
      <c r="H250" s="164">
        <f t="shared" ca="1" si="156"/>
        <v>19384.400000000001</v>
      </c>
      <c r="I250" s="164">
        <f t="shared" ca="1" si="156"/>
        <v>20353.620000000003</v>
      </c>
      <c r="J250" s="164">
        <f t="shared" ca="1" si="156"/>
        <v>21371.301000000003</v>
      </c>
      <c r="K250" s="164">
        <f t="shared" ca="1" si="156"/>
        <v>22439.866050000008</v>
      </c>
      <c r="L250" s="164">
        <f t="shared" ca="1" si="156"/>
        <v>23561.859352500007</v>
      </c>
      <c r="M250" s="164">
        <f t="shared" ca="1" si="156"/>
        <v>24739.952320125009</v>
      </c>
      <c r="N250" s="164">
        <f t="shared" ca="1" si="156"/>
        <v>25976.949936131259</v>
      </c>
      <c r="O250" s="164">
        <f t="shared" ca="1" si="156"/>
        <v>27275.797432937823</v>
      </c>
      <c r="P250" s="164">
        <f t="shared" ca="1" si="156"/>
        <v>28639.587304584715</v>
      </c>
      <c r="Q250" s="164">
        <f t="shared" ca="1" si="156"/>
        <v>30071.56666981395</v>
      </c>
      <c r="R250" s="164">
        <f t="shared" ca="1" si="156"/>
        <v>31575.145003304653</v>
      </c>
      <c r="S250" s="164">
        <f t="shared" ca="1" si="156"/>
        <v>33153.902253469889</v>
      </c>
      <c r="T250" s="164">
        <f t="shared" ca="1" si="156"/>
        <v>34811.597366143382</v>
      </c>
      <c r="U250" s="164">
        <f t="shared" ca="1" si="156"/>
        <v>36552.177234450559</v>
      </c>
      <c r="V250" s="164">
        <f t="shared" ca="1" si="156"/>
        <v>38379.786096173084</v>
      </c>
      <c r="W250" s="164">
        <f t="shared" ca="1" si="156"/>
        <v>40298.775400981744</v>
      </c>
      <c r="X250" s="164">
        <f t="shared" ca="1" si="156"/>
        <v>42313.714171030828</v>
      </c>
      <c r="Y250" s="164">
        <f t="shared" ca="1" si="156"/>
        <v>44429.399879582372</v>
      </c>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97"/>
      <c r="BA250" s="197"/>
      <c r="BB250" s="197"/>
      <c r="BC250" s="197"/>
      <c r="BD250" s="197"/>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118"/>
      <c r="CE250" s="118"/>
    </row>
    <row r="251" spans="1:83" s="38" customFormat="1" ht="14" hidden="1" x14ac:dyDescent="0.3">
      <c r="A251" s="37"/>
      <c r="B251" s="37"/>
      <c r="C251" s="41" t="s">
        <v>123</v>
      </c>
      <c r="D251" s="145" t="str">
        <f t="shared" si="148"/>
        <v>Prioritaire</v>
      </c>
      <c r="E251" s="164">
        <f t="shared" si="149"/>
        <v>-50000</v>
      </c>
      <c r="F251" s="164">
        <f t="shared" ca="1" si="150"/>
        <v>24533.333333333332</v>
      </c>
      <c r="G251" s="164">
        <f t="shared" ref="G251:Y251" ca="1" si="157">G135+G164</f>
        <v>25760</v>
      </c>
      <c r="H251" s="164">
        <f t="shared" ca="1" si="157"/>
        <v>27048</v>
      </c>
      <c r="I251" s="164">
        <f t="shared" ca="1" si="157"/>
        <v>28400.400000000001</v>
      </c>
      <c r="J251" s="164">
        <f t="shared" ca="1" si="157"/>
        <v>29820.420000000006</v>
      </c>
      <c r="K251" s="164">
        <f t="shared" ca="1" si="157"/>
        <v>31311.441000000006</v>
      </c>
      <c r="L251" s="164">
        <f t="shared" ca="1" si="157"/>
        <v>32877.013050000009</v>
      </c>
      <c r="M251" s="164">
        <f t="shared" ca="1" si="157"/>
        <v>34520.863702500006</v>
      </c>
      <c r="N251" s="164">
        <f t="shared" ca="1" si="157"/>
        <v>36246.906887625009</v>
      </c>
      <c r="O251" s="164">
        <f t="shared" ca="1" si="157"/>
        <v>38059.252232006264</v>
      </c>
      <c r="P251" s="164">
        <f t="shared" ca="1" si="157"/>
        <v>39962.214843606576</v>
      </c>
      <c r="Q251" s="164">
        <f t="shared" ca="1" si="157"/>
        <v>41960.325585786908</v>
      </c>
      <c r="R251" s="164">
        <f t="shared" ca="1" si="157"/>
        <v>44058.341865076254</v>
      </c>
      <c r="S251" s="164">
        <f t="shared" ca="1" si="157"/>
        <v>46261.258958330072</v>
      </c>
      <c r="T251" s="164">
        <f t="shared" ca="1" si="157"/>
        <v>48574.32190624658</v>
      </c>
      <c r="U251" s="164">
        <f t="shared" ca="1" si="157"/>
        <v>51003.038001558911</v>
      </c>
      <c r="V251" s="164">
        <f t="shared" ca="1" si="157"/>
        <v>53553.189901636862</v>
      </c>
      <c r="W251" s="164">
        <f t="shared" ca="1" si="157"/>
        <v>56230.84939671871</v>
      </c>
      <c r="X251" s="164">
        <f t="shared" ca="1" si="157"/>
        <v>59042.391866554644</v>
      </c>
      <c r="Y251" s="164">
        <f t="shared" ca="1" si="157"/>
        <v>61994.511459882371</v>
      </c>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97"/>
      <c r="BA251" s="197"/>
      <c r="BB251" s="197"/>
      <c r="BC251" s="197"/>
      <c r="BD251" s="197"/>
      <c r="BE251" s="60"/>
      <c r="BF251" s="60"/>
      <c r="BG251" s="60"/>
      <c r="BH251" s="60"/>
      <c r="BI251" s="60"/>
      <c r="BJ251" s="60"/>
      <c r="BK251" s="60"/>
      <c r="BL251" s="60"/>
      <c r="BM251" s="60"/>
      <c r="BN251" s="60"/>
      <c r="BO251" s="60"/>
      <c r="BP251" s="60"/>
      <c r="BQ251" s="60"/>
      <c r="BR251" s="60"/>
      <c r="BS251" s="60"/>
      <c r="BT251" s="60"/>
      <c r="BU251" s="60"/>
      <c r="BV251" s="60"/>
      <c r="BW251" s="60"/>
      <c r="BX251" s="60"/>
      <c r="BY251" s="60"/>
      <c r="BZ251" s="60"/>
      <c r="CA251" s="60"/>
      <c r="CB251" s="60"/>
      <c r="CC251" s="60"/>
      <c r="CD251" s="118"/>
      <c r="CE251" s="118"/>
    </row>
    <row r="252" spans="1:83" s="38" customFormat="1" ht="14" hidden="1" x14ac:dyDescent="0.3">
      <c r="A252" s="37"/>
      <c r="B252" s="37"/>
      <c r="C252" s="41" t="s">
        <v>124</v>
      </c>
      <c r="D252" s="145" t="str">
        <f t="shared" si="148"/>
        <v>Prioritaire</v>
      </c>
      <c r="E252" s="164">
        <f t="shared" si="149"/>
        <v>-4055</v>
      </c>
      <c r="F252" s="164">
        <f t="shared" ca="1" si="150"/>
        <v>14965.333333333332</v>
      </c>
      <c r="G252" s="164">
        <f t="shared" ref="G252:Y252" ca="1" si="158">G136+G165</f>
        <v>15713.599999999999</v>
      </c>
      <c r="H252" s="164">
        <f t="shared" ca="1" si="158"/>
        <v>16499.28</v>
      </c>
      <c r="I252" s="164">
        <f t="shared" ca="1" si="158"/>
        <v>17324.243999999999</v>
      </c>
      <c r="J252" s="164">
        <f t="shared" ca="1" si="158"/>
        <v>18190.456200000001</v>
      </c>
      <c r="K252" s="164">
        <f t="shared" ca="1" si="158"/>
        <v>19099.979010000003</v>
      </c>
      <c r="L252" s="164">
        <f t="shared" ca="1" si="158"/>
        <v>20054.977960500004</v>
      </c>
      <c r="M252" s="164">
        <f t="shared" ca="1" si="158"/>
        <v>21057.726858525006</v>
      </c>
      <c r="N252" s="164">
        <f t="shared" ca="1" si="158"/>
        <v>22110.613201451255</v>
      </c>
      <c r="O252" s="164">
        <f t="shared" ca="1" si="158"/>
        <v>23216.143861523818</v>
      </c>
      <c r="P252" s="164">
        <f t="shared" ca="1" si="158"/>
        <v>24376.951054600009</v>
      </c>
      <c r="Q252" s="164">
        <f t="shared" ca="1" si="158"/>
        <v>25595.798607330013</v>
      </c>
      <c r="R252" s="164">
        <f t="shared" ca="1" si="158"/>
        <v>26875.588537696516</v>
      </c>
      <c r="S252" s="164">
        <f t="shared" ca="1" si="158"/>
        <v>28219.367964581343</v>
      </c>
      <c r="T252" s="164">
        <f t="shared" ca="1" si="158"/>
        <v>29630.336362810413</v>
      </c>
      <c r="U252" s="164">
        <f t="shared" ca="1" si="158"/>
        <v>31111.853180950933</v>
      </c>
      <c r="V252" s="164">
        <f t="shared" ca="1" si="158"/>
        <v>32667.445839998483</v>
      </c>
      <c r="W252" s="164">
        <f t="shared" ca="1" si="158"/>
        <v>34300.818131998414</v>
      </c>
      <c r="X252" s="164">
        <f t="shared" ca="1" si="158"/>
        <v>36015.859038598333</v>
      </c>
      <c r="Y252" s="164">
        <f t="shared" ca="1" si="158"/>
        <v>37816.651990528248</v>
      </c>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97"/>
      <c r="BA252" s="197"/>
      <c r="BB252" s="197"/>
      <c r="BC252" s="197"/>
      <c r="BD252" s="197"/>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118"/>
      <c r="CE252" s="118"/>
    </row>
    <row r="253" spans="1:83" s="38" customFormat="1" ht="14" hidden="1" x14ac:dyDescent="0.3">
      <c r="A253" s="37"/>
      <c r="B253" s="37"/>
      <c r="C253" s="41" t="s">
        <v>125</v>
      </c>
      <c r="D253" s="145" t="str">
        <f t="shared" si="148"/>
        <v>Ambitieux</v>
      </c>
      <c r="E253" s="164">
        <f t="shared" si="149"/>
        <v>-65000</v>
      </c>
      <c r="F253" s="164">
        <f t="shared" ca="1" si="150"/>
        <v>28622.222222222219</v>
      </c>
      <c r="G253" s="164">
        <f t="shared" ref="G253:Y253" ca="1" si="159">G137+G166</f>
        <v>30053.333333333332</v>
      </c>
      <c r="H253" s="164">
        <f t="shared" ca="1" si="159"/>
        <v>31555.999999999996</v>
      </c>
      <c r="I253" s="164">
        <f t="shared" ca="1" si="159"/>
        <v>33133.800000000003</v>
      </c>
      <c r="J253" s="164">
        <f t="shared" ca="1" si="159"/>
        <v>34790.490000000005</v>
      </c>
      <c r="K253" s="164">
        <f t="shared" ca="1" si="159"/>
        <v>36530.014500000005</v>
      </c>
      <c r="L253" s="164">
        <f t="shared" ca="1" si="159"/>
        <v>38356.51522500001</v>
      </c>
      <c r="M253" s="164">
        <f t="shared" ca="1" si="159"/>
        <v>40274.340986250012</v>
      </c>
      <c r="N253" s="164">
        <f t="shared" ca="1" si="159"/>
        <v>42288.058035562513</v>
      </c>
      <c r="O253" s="164">
        <f t="shared" ca="1" si="159"/>
        <v>44402.460937340635</v>
      </c>
      <c r="P253" s="164">
        <f t="shared" ca="1" si="159"/>
        <v>46622.583984207668</v>
      </c>
      <c r="Q253" s="164">
        <f t="shared" ca="1" si="159"/>
        <v>48953.713183418055</v>
      </c>
      <c r="R253" s="164">
        <f t="shared" ca="1" si="159"/>
        <v>51401.398842588962</v>
      </c>
      <c r="S253" s="164">
        <f t="shared" ca="1" si="159"/>
        <v>53971.46878471841</v>
      </c>
      <c r="T253" s="164">
        <f t="shared" ca="1" si="159"/>
        <v>56670.04222395434</v>
      </c>
      <c r="U253" s="164">
        <f t="shared" ca="1" si="159"/>
        <v>59503.544335152059</v>
      </c>
      <c r="V253" s="164">
        <f t="shared" ca="1" si="159"/>
        <v>62478.721551909664</v>
      </c>
      <c r="W253" s="164">
        <f t="shared" ca="1" si="159"/>
        <v>65602.657629505164</v>
      </c>
      <c r="X253" s="164">
        <f t="shared" ca="1" si="159"/>
        <v>68882.790510980412</v>
      </c>
      <c r="Y253" s="164">
        <f t="shared" ca="1" si="159"/>
        <v>72326.930036529433</v>
      </c>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97"/>
      <c r="BA253" s="197"/>
      <c r="BB253" s="197"/>
      <c r="BC253" s="197"/>
      <c r="BD253" s="197"/>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118"/>
      <c r="CE253" s="118"/>
    </row>
    <row r="254" spans="1:83" s="38" customFormat="1" ht="14" hidden="1" x14ac:dyDescent="0.3">
      <c r="A254" s="37"/>
      <c r="B254" s="37"/>
      <c r="C254" s="41" t="s">
        <v>126</v>
      </c>
      <c r="D254" s="145" t="str">
        <f t="shared" si="148"/>
        <v>Prioritaire</v>
      </c>
      <c r="E254" s="164">
        <f t="shared" si="149"/>
        <v>-5000</v>
      </c>
      <c r="F254" s="164">
        <f t="shared" ca="1" si="150"/>
        <v>7870</v>
      </c>
      <c r="G254" s="164">
        <f t="shared" ref="G254:Y254" ca="1" si="160">G138+G167</f>
        <v>8288.5</v>
      </c>
      <c r="H254" s="164">
        <f t="shared" ca="1" si="160"/>
        <v>8727.9250000000011</v>
      </c>
      <c r="I254" s="164">
        <f t="shared" ca="1" si="160"/>
        <v>9189.3212500000009</v>
      </c>
      <c r="J254" s="164">
        <f t="shared" ca="1" si="160"/>
        <v>9673.7873125000024</v>
      </c>
      <c r="K254" s="164">
        <f t="shared" ca="1" si="160"/>
        <v>10182.476678125004</v>
      </c>
      <c r="L254" s="164">
        <f t="shared" ca="1" si="160"/>
        <v>10716.600512031253</v>
      </c>
      <c r="M254" s="164">
        <f t="shared" ca="1" si="160"/>
        <v>11277.430537632816</v>
      </c>
      <c r="N254" s="164">
        <f t="shared" ca="1" si="160"/>
        <v>11866.302064514457</v>
      </c>
      <c r="O254" s="164">
        <f t="shared" ca="1" si="160"/>
        <v>12484.617167740182</v>
      </c>
      <c r="P254" s="164">
        <f t="shared" ca="1" si="160"/>
        <v>13133.848026127189</v>
      </c>
      <c r="Q254" s="164">
        <f t="shared" ca="1" si="160"/>
        <v>13815.540427433551</v>
      </c>
      <c r="R254" s="164">
        <f t="shared" ca="1" si="160"/>
        <v>14531.317448805228</v>
      </c>
      <c r="S254" s="164">
        <f t="shared" ca="1" si="160"/>
        <v>15282.88332124549</v>
      </c>
      <c r="T254" s="164">
        <f t="shared" ca="1" si="160"/>
        <v>16072.027487307765</v>
      </c>
      <c r="U254" s="164">
        <f t="shared" ca="1" si="160"/>
        <v>16900.628861673158</v>
      </c>
      <c r="V254" s="164">
        <f t="shared" ca="1" si="160"/>
        <v>17770.660304756817</v>
      </c>
      <c r="W254" s="164">
        <f t="shared" ca="1" si="160"/>
        <v>18684.193319994658</v>
      </c>
      <c r="X254" s="164">
        <f t="shared" ca="1" si="160"/>
        <v>19643.402985994391</v>
      </c>
      <c r="Y254" s="164">
        <f t="shared" ca="1" si="160"/>
        <v>20650.573135294111</v>
      </c>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97"/>
      <c r="BA254" s="197"/>
      <c r="BB254" s="197"/>
      <c r="BC254" s="197"/>
      <c r="BD254" s="197"/>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118"/>
      <c r="CE254" s="118"/>
    </row>
    <row r="255" spans="1:83" s="38" customFormat="1" ht="14" hidden="1" x14ac:dyDescent="0.3">
      <c r="A255" s="37"/>
      <c r="B255" s="37"/>
      <c r="C255" s="41" t="s">
        <v>284</v>
      </c>
      <c r="D255" s="145" t="str">
        <f t="shared" si="148"/>
        <v>Très ambitieux</v>
      </c>
      <c r="E255" s="164">
        <f t="shared" si="149"/>
        <v>-80300</v>
      </c>
      <c r="F255" s="164">
        <f t="shared" ca="1" si="150"/>
        <v>8788.5</v>
      </c>
      <c r="G255" s="164">
        <f t="shared" ref="G255:Y255" ca="1" si="161">G139+G168</f>
        <v>9227.9250000000011</v>
      </c>
      <c r="H255" s="164">
        <f t="shared" ca="1" si="161"/>
        <v>9689.3212500000009</v>
      </c>
      <c r="I255" s="164">
        <f t="shared" ca="1" si="161"/>
        <v>10173.787312500001</v>
      </c>
      <c r="J255" s="164">
        <f t="shared" ca="1" si="161"/>
        <v>10682.476678125002</v>
      </c>
      <c r="K255" s="164">
        <f t="shared" ca="1" si="161"/>
        <v>11216.600512031253</v>
      </c>
      <c r="L255" s="164">
        <f t="shared" ca="1" si="161"/>
        <v>11777.430537632816</v>
      </c>
      <c r="M255" s="164">
        <f t="shared" ca="1" si="161"/>
        <v>12366.302064514457</v>
      </c>
      <c r="N255" s="164">
        <f t="shared" ca="1" si="161"/>
        <v>12984.61716774018</v>
      </c>
      <c r="O255" s="164">
        <f t="shared" ca="1" si="161"/>
        <v>13633.848026127191</v>
      </c>
      <c r="P255" s="164">
        <f t="shared" ca="1" si="161"/>
        <v>14315.540427433549</v>
      </c>
      <c r="Q255" s="164">
        <f t="shared" ca="1" si="161"/>
        <v>15031.317448805228</v>
      </c>
      <c r="R255" s="164">
        <f t="shared" ca="1" si="161"/>
        <v>15782.88332124549</v>
      </c>
      <c r="S255" s="164">
        <f t="shared" ca="1" si="161"/>
        <v>16572.027487307765</v>
      </c>
      <c r="T255" s="164">
        <f t="shared" ca="1" si="161"/>
        <v>17400.628861673154</v>
      </c>
      <c r="U255" s="164">
        <f t="shared" ca="1" si="161"/>
        <v>18270.660304756813</v>
      </c>
      <c r="V255" s="164">
        <f t="shared" ca="1" si="161"/>
        <v>19184.193319994658</v>
      </c>
      <c r="W255" s="164">
        <f t="shared" ca="1" si="161"/>
        <v>20143.402985994391</v>
      </c>
      <c r="X255" s="164">
        <f t="shared" ca="1" si="161"/>
        <v>21150.573135294111</v>
      </c>
      <c r="Y255" s="164">
        <f t="shared" ca="1" si="161"/>
        <v>22208.101792058816</v>
      </c>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97"/>
      <c r="BA255" s="197"/>
      <c r="BB255" s="197"/>
      <c r="BC255" s="197"/>
      <c r="BD255" s="197"/>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118"/>
      <c r="CE255" s="118"/>
    </row>
    <row r="256" spans="1:83" s="38" customFormat="1" ht="14" hidden="1" x14ac:dyDescent="0.3">
      <c r="A256" s="37"/>
      <c r="B256" s="37"/>
      <c r="C256" s="41" t="s">
        <v>285</v>
      </c>
      <c r="D256" s="145" t="str">
        <f t="shared" si="148"/>
        <v>Très ambitieux</v>
      </c>
      <c r="E256" s="164">
        <f t="shared" si="149"/>
        <v>-82000</v>
      </c>
      <c r="F256" s="164">
        <f t="shared" ca="1" si="150"/>
        <v>17577</v>
      </c>
      <c r="G256" s="164">
        <f t="shared" ref="G256:Y256" ca="1" si="162">G140+G169</f>
        <v>18455.850000000002</v>
      </c>
      <c r="H256" s="164">
        <f t="shared" ca="1" si="162"/>
        <v>19378.642500000002</v>
      </c>
      <c r="I256" s="164">
        <f t="shared" ca="1" si="162"/>
        <v>20347.574625000001</v>
      </c>
      <c r="J256" s="164">
        <f t="shared" ca="1" si="162"/>
        <v>21364.953356250004</v>
      </c>
      <c r="K256" s="164">
        <f t="shared" ca="1" si="162"/>
        <v>22433.201024062506</v>
      </c>
      <c r="L256" s="164">
        <f t="shared" ca="1" si="162"/>
        <v>23554.861075265631</v>
      </c>
      <c r="M256" s="164">
        <f t="shared" ca="1" si="162"/>
        <v>24732.604129028914</v>
      </c>
      <c r="N256" s="164">
        <f t="shared" ca="1" si="162"/>
        <v>25969.23433548036</v>
      </c>
      <c r="O256" s="164">
        <f t="shared" ca="1" si="162"/>
        <v>27267.696052254381</v>
      </c>
      <c r="P256" s="164">
        <f t="shared" ca="1" si="162"/>
        <v>28631.080854867098</v>
      </c>
      <c r="Q256" s="164">
        <f t="shared" ca="1" si="162"/>
        <v>30062.634897610456</v>
      </c>
      <c r="R256" s="164">
        <f t="shared" ca="1" si="162"/>
        <v>31565.76664249098</v>
      </c>
      <c r="S256" s="164">
        <f t="shared" ca="1" si="162"/>
        <v>33144.05497461553</v>
      </c>
      <c r="T256" s="164">
        <f t="shared" ca="1" si="162"/>
        <v>34801.257723346309</v>
      </c>
      <c r="U256" s="164">
        <f t="shared" ca="1" si="162"/>
        <v>36541.320609513627</v>
      </c>
      <c r="V256" s="164">
        <f t="shared" ca="1" si="162"/>
        <v>38368.386639989316</v>
      </c>
      <c r="W256" s="164">
        <f t="shared" ca="1" si="162"/>
        <v>40286.805971988782</v>
      </c>
      <c r="X256" s="164">
        <f t="shared" ca="1" si="162"/>
        <v>42301.146270588222</v>
      </c>
      <c r="Y256" s="164">
        <f t="shared" ca="1" si="162"/>
        <v>44416.203584117633</v>
      </c>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97"/>
      <c r="BA256" s="197"/>
      <c r="BB256" s="197"/>
      <c r="BC256" s="197"/>
      <c r="BD256" s="197"/>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118"/>
      <c r="CE256" s="118"/>
    </row>
    <row r="257" spans="1:83" s="38" customFormat="1" ht="14" hidden="1" x14ac:dyDescent="0.3">
      <c r="A257" s="37"/>
      <c r="B257" s="37"/>
      <c r="C257" s="41" t="s">
        <v>286</v>
      </c>
      <c r="D257" s="145" t="str">
        <f t="shared" si="148"/>
        <v>Non priorisé</v>
      </c>
      <c r="E257" s="164">
        <f t="shared" si="149"/>
        <v>0</v>
      </c>
      <c r="F257" s="164">
        <f t="shared" ca="1" si="150"/>
        <v>2248.8888888888887</v>
      </c>
      <c r="G257" s="164">
        <f t="shared" ref="G257:Y257" ca="1" si="163">G141+G170</f>
        <v>2361.333333333333</v>
      </c>
      <c r="H257" s="164">
        <f t="shared" ca="1" si="163"/>
        <v>2479.3999999999996</v>
      </c>
      <c r="I257" s="164">
        <f t="shared" ca="1" si="163"/>
        <v>2603.37</v>
      </c>
      <c r="J257" s="164">
        <f t="shared" ca="1" si="163"/>
        <v>2733.5385000000001</v>
      </c>
      <c r="K257" s="164">
        <f t="shared" ca="1" si="163"/>
        <v>2870.2154250000003</v>
      </c>
      <c r="L257" s="164">
        <f t="shared" ca="1" si="163"/>
        <v>3013.7261962500006</v>
      </c>
      <c r="M257" s="164">
        <f t="shared" ca="1" si="163"/>
        <v>3164.4125060625006</v>
      </c>
      <c r="N257" s="164">
        <f t="shared" ca="1" si="163"/>
        <v>3322.633131365626</v>
      </c>
      <c r="O257" s="164">
        <f t="shared" ca="1" si="163"/>
        <v>3488.7647879339074</v>
      </c>
      <c r="P257" s="164">
        <f t="shared" ca="1" si="163"/>
        <v>3663.2030273306027</v>
      </c>
      <c r="Q257" s="164">
        <f t="shared" ca="1" si="163"/>
        <v>3846.3631786971328</v>
      </c>
      <c r="R257" s="164">
        <f t="shared" ca="1" si="163"/>
        <v>4038.6813376319901</v>
      </c>
      <c r="S257" s="164">
        <f t="shared" ca="1" si="163"/>
        <v>4240.61540451359</v>
      </c>
      <c r="T257" s="164">
        <f t="shared" ca="1" si="163"/>
        <v>4452.6461747392696</v>
      </c>
      <c r="U257" s="164">
        <f t="shared" ca="1" si="163"/>
        <v>4675.2784834762333</v>
      </c>
      <c r="V257" s="164">
        <f t="shared" ca="1" si="163"/>
        <v>4909.0424076500458</v>
      </c>
      <c r="W257" s="164">
        <f t="shared" ca="1" si="163"/>
        <v>5154.4945280325483</v>
      </c>
      <c r="X257" s="164">
        <f t="shared" ca="1" si="163"/>
        <v>5412.2192544341751</v>
      </c>
      <c r="Y257" s="164">
        <f t="shared" ca="1" si="163"/>
        <v>5682.8302171558844</v>
      </c>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97"/>
      <c r="BA257" s="197"/>
      <c r="BB257" s="197"/>
      <c r="BC257" s="197"/>
      <c r="BD257" s="197"/>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118"/>
      <c r="CE257" s="118"/>
    </row>
    <row r="258" spans="1:83" s="38" customFormat="1" ht="14" hidden="1" x14ac:dyDescent="0.3">
      <c r="A258" s="37"/>
      <c r="B258" s="37"/>
      <c r="C258" s="41" t="s">
        <v>287</v>
      </c>
      <c r="D258" s="145">
        <f t="shared" si="148"/>
        <v>0</v>
      </c>
      <c r="E258" s="164">
        <f t="shared" si="149"/>
        <v>0</v>
      </c>
      <c r="F258" s="164">
        <f t="shared" ca="1" si="150"/>
        <v>0</v>
      </c>
      <c r="G258" s="164">
        <f t="shared" ref="G258:Y258" ca="1" si="164">G142+G171</f>
        <v>0</v>
      </c>
      <c r="H258" s="164">
        <f t="shared" ca="1" si="164"/>
        <v>0</v>
      </c>
      <c r="I258" s="164">
        <f t="shared" ca="1" si="164"/>
        <v>0</v>
      </c>
      <c r="J258" s="164">
        <f t="shared" ca="1" si="164"/>
        <v>0</v>
      </c>
      <c r="K258" s="164">
        <f t="shared" ca="1" si="164"/>
        <v>0</v>
      </c>
      <c r="L258" s="164">
        <f t="shared" ca="1" si="164"/>
        <v>0</v>
      </c>
      <c r="M258" s="164">
        <f t="shared" ca="1" si="164"/>
        <v>0</v>
      </c>
      <c r="N258" s="164">
        <f t="shared" ca="1" si="164"/>
        <v>0</v>
      </c>
      <c r="O258" s="164">
        <f t="shared" ca="1" si="164"/>
        <v>0</v>
      </c>
      <c r="P258" s="164">
        <f t="shared" ca="1" si="164"/>
        <v>0</v>
      </c>
      <c r="Q258" s="164">
        <f t="shared" ca="1" si="164"/>
        <v>0</v>
      </c>
      <c r="R258" s="164">
        <f t="shared" ca="1" si="164"/>
        <v>0</v>
      </c>
      <c r="S258" s="164">
        <f t="shared" ca="1" si="164"/>
        <v>0</v>
      </c>
      <c r="T258" s="164">
        <f t="shared" ca="1" si="164"/>
        <v>0</v>
      </c>
      <c r="U258" s="164">
        <f t="shared" ca="1" si="164"/>
        <v>0</v>
      </c>
      <c r="V258" s="164">
        <f t="shared" ca="1" si="164"/>
        <v>0</v>
      </c>
      <c r="W258" s="164">
        <f t="shared" ca="1" si="164"/>
        <v>0</v>
      </c>
      <c r="X258" s="164">
        <f t="shared" ca="1" si="164"/>
        <v>0</v>
      </c>
      <c r="Y258" s="164">
        <f t="shared" ca="1" si="164"/>
        <v>0</v>
      </c>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97"/>
      <c r="BA258" s="197"/>
      <c r="BB258" s="197"/>
      <c r="BC258" s="197"/>
      <c r="BD258" s="197"/>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118"/>
      <c r="CE258" s="118"/>
    </row>
    <row r="259" spans="1:83" s="38" customFormat="1" ht="14" hidden="1" x14ac:dyDescent="0.3">
      <c r="A259" s="37"/>
      <c r="B259" s="37"/>
      <c r="C259" s="41" t="s">
        <v>288</v>
      </c>
      <c r="D259" s="145">
        <f t="shared" si="148"/>
        <v>0</v>
      </c>
      <c r="E259" s="164">
        <f t="shared" si="149"/>
        <v>0</v>
      </c>
      <c r="F259" s="164">
        <f t="shared" ca="1" si="150"/>
        <v>0</v>
      </c>
      <c r="G259" s="164">
        <f t="shared" ref="G259:Y259" ca="1" si="165">G143+G172</f>
        <v>0</v>
      </c>
      <c r="H259" s="164">
        <f t="shared" ca="1" si="165"/>
        <v>0</v>
      </c>
      <c r="I259" s="164">
        <f t="shared" ca="1" si="165"/>
        <v>0</v>
      </c>
      <c r="J259" s="164">
        <f t="shared" ca="1" si="165"/>
        <v>0</v>
      </c>
      <c r="K259" s="164">
        <f t="shared" ca="1" si="165"/>
        <v>0</v>
      </c>
      <c r="L259" s="164">
        <f t="shared" ca="1" si="165"/>
        <v>0</v>
      </c>
      <c r="M259" s="164">
        <f t="shared" ca="1" si="165"/>
        <v>0</v>
      </c>
      <c r="N259" s="164">
        <f t="shared" ca="1" si="165"/>
        <v>0</v>
      </c>
      <c r="O259" s="164">
        <f t="shared" ca="1" si="165"/>
        <v>0</v>
      </c>
      <c r="P259" s="164">
        <f t="shared" ca="1" si="165"/>
        <v>0</v>
      </c>
      <c r="Q259" s="164">
        <f t="shared" ca="1" si="165"/>
        <v>0</v>
      </c>
      <c r="R259" s="164">
        <f t="shared" ca="1" si="165"/>
        <v>0</v>
      </c>
      <c r="S259" s="164">
        <f t="shared" ca="1" si="165"/>
        <v>0</v>
      </c>
      <c r="T259" s="164">
        <f t="shared" ca="1" si="165"/>
        <v>0</v>
      </c>
      <c r="U259" s="164">
        <f t="shared" ca="1" si="165"/>
        <v>0</v>
      </c>
      <c r="V259" s="164">
        <f t="shared" ca="1" si="165"/>
        <v>0</v>
      </c>
      <c r="W259" s="164">
        <f t="shared" ca="1" si="165"/>
        <v>0</v>
      </c>
      <c r="X259" s="164">
        <f t="shared" ca="1" si="165"/>
        <v>0</v>
      </c>
      <c r="Y259" s="164">
        <f t="shared" ca="1" si="165"/>
        <v>0</v>
      </c>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97"/>
      <c r="BA259" s="197"/>
      <c r="BB259" s="197"/>
      <c r="BC259" s="197"/>
      <c r="BD259" s="197"/>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118"/>
      <c r="CE259" s="118"/>
    </row>
    <row r="260" spans="1:83" s="38" customFormat="1" ht="14" hidden="1" x14ac:dyDescent="0.3">
      <c r="A260" s="37"/>
      <c r="B260" s="37"/>
      <c r="C260" s="41" t="s">
        <v>289</v>
      </c>
      <c r="D260" s="145">
        <f t="shared" si="148"/>
        <v>0</v>
      </c>
      <c r="E260" s="164">
        <f t="shared" si="149"/>
        <v>0</v>
      </c>
      <c r="F260" s="164">
        <f t="shared" ca="1" si="150"/>
        <v>0</v>
      </c>
      <c r="G260" s="164">
        <f t="shared" ref="G260:Y260" ca="1" si="166">G144+G173</f>
        <v>0</v>
      </c>
      <c r="H260" s="164">
        <f t="shared" ca="1" si="166"/>
        <v>0</v>
      </c>
      <c r="I260" s="164">
        <f t="shared" ca="1" si="166"/>
        <v>0</v>
      </c>
      <c r="J260" s="164">
        <f t="shared" ca="1" si="166"/>
        <v>0</v>
      </c>
      <c r="K260" s="164">
        <f t="shared" ca="1" si="166"/>
        <v>0</v>
      </c>
      <c r="L260" s="164">
        <f t="shared" ca="1" si="166"/>
        <v>0</v>
      </c>
      <c r="M260" s="164">
        <f t="shared" ca="1" si="166"/>
        <v>0</v>
      </c>
      <c r="N260" s="164">
        <f t="shared" ca="1" si="166"/>
        <v>0</v>
      </c>
      <c r="O260" s="164">
        <f t="shared" ca="1" si="166"/>
        <v>0</v>
      </c>
      <c r="P260" s="164">
        <f t="shared" ca="1" si="166"/>
        <v>0</v>
      </c>
      <c r="Q260" s="164">
        <f t="shared" ca="1" si="166"/>
        <v>0</v>
      </c>
      <c r="R260" s="164">
        <f t="shared" ca="1" si="166"/>
        <v>0</v>
      </c>
      <c r="S260" s="164">
        <f t="shared" ca="1" si="166"/>
        <v>0</v>
      </c>
      <c r="T260" s="164">
        <f t="shared" ca="1" si="166"/>
        <v>0</v>
      </c>
      <c r="U260" s="164">
        <f t="shared" ca="1" si="166"/>
        <v>0</v>
      </c>
      <c r="V260" s="164">
        <f t="shared" ca="1" si="166"/>
        <v>0</v>
      </c>
      <c r="W260" s="164">
        <f t="shared" ca="1" si="166"/>
        <v>0</v>
      </c>
      <c r="X260" s="164">
        <f t="shared" ca="1" si="166"/>
        <v>0</v>
      </c>
      <c r="Y260" s="164">
        <f t="shared" ca="1" si="166"/>
        <v>0</v>
      </c>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97"/>
      <c r="BA260" s="197"/>
      <c r="BB260" s="197"/>
      <c r="BC260" s="197"/>
      <c r="BD260" s="197"/>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118"/>
      <c r="CE260" s="118"/>
    </row>
    <row r="261" spans="1:83" s="38" customFormat="1" ht="14" hidden="1" x14ac:dyDescent="0.3">
      <c r="A261" s="37"/>
      <c r="B261" s="37"/>
      <c r="C261" s="41" t="s">
        <v>290</v>
      </c>
      <c r="D261" s="145">
        <f t="shared" si="148"/>
        <v>0</v>
      </c>
      <c r="E261" s="164">
        <f t="shared" si="149"/>
        <v>0</v>
      </c>
      <c r="F261" s="164">
        <f t="shared" ca="1" si="150"/>
        <v>0</v>
      </c>
      <c r="G261" s="164">
        <f t="shared" ref="G261:Y261" ca="1" si="167">G145+G174</f>
        <v>0</v>
      </c>
      <c r="H261" s="164">
        <f t="shared" ca="1" si="167"/>
        <v>0</v>
      </c>
      <c r="I261" s="164">
        <f t="shared" ca="1" si="167"/>
        <v>0</v>
      </c>
      <c r="J261" s="164">
        <f t="shared" ca="1" si="167"/>
        <v>0</v>
      </c>
      <c r="K261" s="164">
        <f t="shared" ca="1" si="167"/>
        <v>0</v>
      </c>
      <c r="L261" s="164">
        <f t="shared" ca="1" si="167"/>
        <v>0</v>
      </c>
      <c r="M261" s="164">
        <f t="shared" ca="1" si="167"/>
        <v>0</v>
      </c>
      <c r="N261" s="164">
        <f t="shared" ca="1" si="167"/>
        <v>0</v>
      </c>
      <c r="O261" s="164">
        <f t="shared" ca="1" si="167"/>
        <v>0</v>
      </c>
      <c r="P261" s="164">
        <f t="shared" ca="1" si="167"/>
        <v>0</v>
      </c>
      <c r="Q261" s="164">
        <f t="shared" ca="1" si="167"/>
        <v>0</v>
      </c>
      <c r="R261" s="164">
        <f t="shared" ca="1" si="167"/>
        <v>0</v>
      </c>
      <c r="S261" s="164">
        <f t="shared" ca="1" si="167"/>
        <v>0</v>
      </c>
      <c r="T261" s="164">
        <f t="shared" ca="1" si="167"/>
        <v>0</v>
      </c>
      <c r="U261" s="164">
        <f t="shared" ca="1" si="167"/>
        <v>0</v>
      </c>
      <c r="V261" s="164">
        <f t="shared" ca="1" si="167"/>
        <v>0</v>
      </c>
      <c r="W261" s="164">
        <f t="shared" ca="1" si="167"/>
        <v>0</v>
      </c>
      <c r="X261" s="164">
        <f t="shared" ca="1" si="167"/>
        <v>0</v>
      </c>
      <c r="Y261" s="164">
        <f t="shared" ca="1" si="167"/>
        <v>0</v>
      </c>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97"/>
      <c r="BA261" s="197"/>
      <c r="BB261" s="197"/>
      <c r="BC261" s="197"/>
      <c r="BD261" s="197"/>
      <c r="BE261" s="60"/>
      <c r="BF261" s="60"/>
      <c r="BG261" s="60"/>
      <c r="BH261" s="60"/>
      <c r="BI261" s="60"/>
      <c r="BJ261" s="60"/>
      <c r="BK261" s="60"/>
      <c r="BL261" s="60"/>
      <c r="BM261" s="60"/>
      <c r="BN261" s="60"/>
      <c r="BO261" s="60"/>
      <c r="BP261" s="60"/>
      <c r="BQ261" s="60"/>
      <c r="BR261" s="60"/>
      <c r="BS261" s="60"/>
      <c r="BT261" s="60"/>
      <c r="BU261" s="60"/>
      <c r="BV261" s="60"/>
      <c r="BW261" s="60"/>
      <c r="BX261" s="60"/>
      <c r="BY261" s="60"/>
      <c r="BZ261" s="60"/>
      <c r="CA261" s="60"/>
      <c r="CB261" s="60"/>
      <c r="CC261" s="60"/>
      <c r="CD261" s="118"/>
      <c r="CE261" s="118"/>
    </row>
    <row r="262" spans="1:83" s="38" customFormat="1" ht="14" hidden="1" x14ac:dyDescent="0.3">
      <c r="A262" s="37"/>
      <c r="B262" s="37"/>
      <c r="C262" s="41" t="s">
        <v>291</v>
      </c>
      <c r="D262" s="145">
        <f t="shared" si="148"/>
        <v>0</v>
      </c>
      <c r="E262" s="164">
        <f t="shared" si="149"/>
        <v>0</v>
      </c>
      <c r="F262" s="164">
        <f t="shared" ca="1" si="150"/>
        <v>0</v>
      </c>
      <c r="G262" s="164">
        <f t="shared" ref="G262:Y262" ca="1" si="168">G146+G175</f>
        <v>0</v>
      </c>
      <c r="H262" s="164">
        <f t="shared" ca="1" si="168"/>
        <v>0</v>
      </c>
      <c r="I262" s="164">
        <f t="shared" ca="1" si="168"/>
        <v>0</v>
      </c>
      <c r="J262" s="164">
        <f t="shared" ca="1" si="168"/>
        <v>0</v>
      </c>
      <c r="K262" s="164">
        <f t="shared" ca="1" si="168"/>
        <v>0</v>
      </c>
      <c r="L262" s="164">
        <f t="shared" ca="1" si="168"/>
        <v>0</v>
      </c>
      <c r="M262" s="164">
        <f t="shared" ca="1" si="168"/>
        <v>0</v>
      </c>
      <c r="N262" s="164">
        <f t="shared" ca="1" si="168"/>
        <v>0</v>
      </c>
      <c r="O262" s="164">
        <f t="shared" ca="1" si="168"/>
        <v>0</v>
      </c>
      <c r="P262" s="164">
        <f t="shared" ca="1" si="168"/>
        <v>0</v>
      </c>
      <c r="Q262" s="164">
        <f t="shared" ca="1" si="168"/>
        <v>0</v>
      </c>
      <c r="R262" s="164">
        <f t="shared" ca="1" si="168"/>
        <v>0</v>
      </c>
      <c r="S262" s="164">
        <f t="shared" ca="1" si="168"/>
        <v>0</v>
      </c>
      <c r="T262" s="164">
        <f t="shared" ca="1" si="168"/>
        <v>0</v>
      </c>
      <c r="U262" s="164">
        <f t="shared" ca="1" si="168"/>
        <v>0</v>
      </c>
      <c r="V262" s="164">
        <f t="shared" ca="1" si="168"/>
        <v>0</v>
      </c>
      <c r="W262" s="164">
        <f t="shared" ca="1" si="168"/>
        <v>0</v>
      </c>
      <c r="X262" s="164">
        <f t="shared" ca="1" si="168"/>
        <v>0</v>
      </c>
      <c r="Y262" s="164">
        <f t="shared" ca="1" si="168"/>
        <v>0</v>
      </c>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97"/>
      <c r="BA262" s="197"/>
      <c r="BB262" s="197"/>
      <c r="BC262" s="197"/>
      <c r="BD262" s="197"/>
      <c r="BE262" s="60"/>
      <c r="BF262" s="60"/>
      <c r="BG262" s="60"/>
      <c r="BH262" s="60"/>
      <c r="BI262" s="60"/>
      <c r="BJ262" s="60"/>
      <c r="BK262" s="60"/>
      <c r="BL262" s="60"/>
      <c r="BM262" s="60"/>
      <c r="BN262" s="60"/>
      <c r="BO262" s="60"/>
      <c r="BP262" s="60"/>
      <c r="BQ262" s="60"/>
      <c r="BR262" s="60"/>
      <c r="BS262" s="60"/>
      <c r="BT262" s="60"/>
      <c r="BU262" s="60"/>
      <c r="BV262" s="60"/>
      <c r="BW262" s="60"/>
      <c r="BX262" s="60"/>
      <c r="BY262" s="60"/>
      <c r="BZ262" s="60"/>
      <c r="CA262" s="60"/>
      <c r="CB262" s="60"/>
      <c r="CC262" s="60"/>
      <c r="CD262" s="118"/>
      <c r="CE262" s="118"/>
    </row>
    <row r="263" spans="1:83" s="38" customFormat="1" ht="14" hidden="1" x14ac:dyDescent="0.3">
      <c r="A263" s="37"/>
      <c r="B263" s="37"/>
      <c r="C263" s="41" t="s">
        <v>292</v>
      </c>
      <c r="D263" s="145">
        <f t="shared" si="148"/>
        <v>0</v>
      </c>
      <c r="E263" s="164">
        <f t="shared" si="149"/>
        <v>0</v>
      </c>
      <c r="F263" s="164">
        <f t="shared" ca="1" si="150"/>
        <v>0</v>
      </c>
      <c r="G263" s="164">
        <f t="shared" ref="G263:Y263" ca="1" si="169">G147+G176</f>
        <v>0</v>
      </c>
      <c r="H263" s="164">
        <f t="shared" ca="1" si="169"/>
        <v>0</v>
      </c>
      <c r="I263" s="164">
        <f t="shared" ca="1" si="169"/>
        <v>0</v>
      </c>
      <c r="J263" s="164">
        <f t="shared" ca="1" si="169"/>
        <v>0</v>
      </c>
      <c r="K263" s="164">
        <f t="shared" ca="1" si="169"/>
        <v>0</v>
      </c>
      <c r="L263" s="164">
        <f t="shared" ca="1" si="169"/>
        <v>0</v>
      </c>
      <c r="M263" s="164">
        <f t="shared" ca="1" si="169"/>
        <v>0</v>
      </c>
      <c r="N263" s="164">
        <f t="shared" ca="1" si="169"/>
        <v>0</v>
      </c>
      <c r="O263" s="164">
        <f t="shared" ca="1" si="169"/>
        <v>0</v>
      </c>
      <c r="P263" s="164">
        <f t="shared" ca="1" si="169"/>
        <v>0</v>
      </c>
      <c r="Q263" s="164">
        <f t="shared" ca="1" si="169"/>
        <v>0</v>
      </c>
      <c r="R263" s="164">
        <f t="shared" ca="1" si="169"/>
        <v>0</v>
      </c>
      <c r="S263" s="164">
        <f t="shared" ca="1" si="169"/>
        <v>0</v>
      </c>
      <c r="T263" s="164">
        <f t="shared" ca="1" si="169"/>
        <v>0</v>
      </c>
      <c r="U263" s="164">
        <f t="shared" ca="1" si="169"/>
        <v>0</v>
      </c>
      <c r="V263" s="164">
        <f t="shared" ca="1" si="169"/>
        <v>0</v>
      </c>
      <c r="W263" s="164">
        <f t="shared" ca="1" si="169"/>
        <v>0</v>
      </c>
      <c r="X263" s="164">
        <f t="shared" ca="1" si="169"/>
        <v>0</v>
      </c>
      <c r="Y263" s="164">
        <f t="shared" ca="1" si="169"/>
        <v>0</v>
      </c>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97"/>
      <c r="BA263" s="197"/>
      <c r="BB263" s="197"/>
      <c r="BC263" s="197"/>
      <c r="BD263" s="197"/>
      <c r="BE263" s="60"/>
      <c r="BF263" s="60"/>
      <c r="BG263" s="60"/>
      <c r="BH263" s="60"/>
      <c r="BI263" s="60"/>
      <c r="BJ263" s="60"/>
      <c r="BK263" s="60"/>
      <c r="BL263" s="60"/>
      <c r="BM263" s="60"/>
      <c r="BN263" s="60"/>
      <c r="BO263" s="60"/>
      <c r="BP263" s="60"/>
      <c r="BQ263" s="60"/>
      <c r="BR263" s="60"/>
      <c r="BS263" s="60"/>
      <c r="BT263" s="60"/>
      <c r="BU263" s="60"/>
      <c r="BV263" s="60"/>
      <c r="BW263" s="60"/>
      <c r="BX263" s="60"/>
      <c r="BY263" s="60"/>
      <c r="BZ263" s="60"/>
      <c r="CA263" s="60"/>
      <c r="CB263" s="60"/>
      <c r="CC263" s="60"/>
      <c r="CD263" s="118"/>
      <c r="CE263" s="118"/>
    </row>
    <row r="264" spans="1:83" s="38" customFormat="1" ht="14" hidden="1" x14ac:dyDescent="0.3">
      <c r="A264" s="37"/>
      <c r="B264" s="37"/>
      <c r="C264" s="41" t="s">
        <v>293</v>
      </c>
      <c r="D264" s="145">
        <f t="shared" si="148"/>
        <v>0</v>
      </c>
      <c r="E264" s="164">
        <f t="shared" si="149"/>
        <v>0</v>
      </c>
      <c r="F264" s="164">
        <f t="shared" ca="1" si="150"/>
        <v>0</v>
      </c>
      <c r="G264" s="164">
        <f t="shared" ref="G264:Y264" ca="1" si="170">G148+G177</f>
        <v>0</v>
      </c>
      <c r="H264" s="164">
        <f t="shared" ca="1" si="170"/>
        <v>0</v>
      </c>
      <c r="I264" s="164">
        <f t="shared" ca="1" si="170"/>
        <v>0</v>
      </c>
      <c r="J264" s="164">
        <f t="shared" ca="1" si="170"/>
        <v>0</v>
      </c>
      <c r="K264" s="164">
        <f t="shared" ca="1" si="170"/>
        <v>0</v>
      </c>
      <c r="L264" s="164">
        <f t="shared" ca="1" si="170"/>
        <v>0</v>
      </c>
      <c r="M264" s="164">
        <f t="shared" ca="1" si="170"/>
        <v>0</v>
      </c>
      <c r="N264" s="164">
        <f t="shared" ca="1" si="170"/>
        <v>0</v>
      </c>
      <c r="O264" s="164">
        <f t="shared" ca="1" si="170"/>
        <v>0</v>
      </c>
      <c r="P264" s="164">
        <f t="shared" ca="1" si="170"/>
        <v>0</v>
      </c>
      <c r="Q264" s="164">
        <f t="shared" ca="1" si="170"/>
        <v>0</v>
      </c>
      <c r="R264" s="164">
        <f t="shared" ca="1" si="170"/>
        <v>0</v>
      </c>
      <c r="S264" s="164">
        <f t="shared" ca="1" si="170"/>
        <v>0</v>
      </c>
      <c r="T264" s="164">
        <f t="shared" ca="1" si="170"/>
        <v>0</v>
      </c>
      <c r="U264" s="164">
        <f t="shared" ca="1" si="170"/>
        <v>0</v>
      </c>
      <c r="V264" s="164">
        <f t="shared" ca="1" si="170"/>
        <v>0</v>
      </c>
      <c r="W264" s="164">
        <f t="shared" ca="1" si="170"/>
        <v>0</v>
      </c>
      <c r="X264" s="164">
        <f t="shared" ca="1" si="170"/>
        <v>0</v>
      </c>
      <c r="Y264" s="164">
        <f t="shared" ca="1" si="170"/>
        <v>0</v>
      </c>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97"/>
      <c r="BA264" s="197"/>
      <c r="BB264" s="197"/>
      <c r="BC264" s="197"/>
      <c r="BD264" s="197"/>
      <c r="BE264" s="60"/>
      <c r="BF264" s="60"/>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118"/>
      <c r="CE264" s="118"/>
    </row>
    <row r="265" spans="1:83" s="141" customFormat="1" ht="14" hidden="1" x14ac:dyDescent="0.3">
      <c r="A265" s="37"/>
      <c r="B265" s="37"/>
      <c r="C265" s="143" t="s">
        <v>108</v>
      </c>
      <c r="D265" s="143" t="s">
        <v>108</v>
      </c>
      <c r="E265" s="166">
        <f>SUM(E245:E264)</f>
        <v>-534325</v>
      </c>
      <c r="F265" s="166">
        <f ca="1">SUM(F245:F264)</f>
        <v>195809.25555555552</v>
      </c>
      <c r="G265" s="166">
        <f t="shared" ref="G265:Y265" ca="1" si="171">SUM(G245:G264)</f>
        <v>205799.71833333335</v>
      </c>
      <c r="H265" s="166">
        <f t="shared" ca="1" si="171"/>
        <v>216289.70424999998</v>
      </c>
      <c r="I265" s="166">
        <f t="shared" ca="1" si="171"/>
        <v>227304.18946250001</v>
      </c>
      <c r="J265" s="166">
        <f t="shared" ca="1" si="171"/>
        <v>238869.39893562504</v>
      </c>
      <c r="K265" s="166">
        <f t="shared" ca="1" si="171"/>
        <v>251012.8688824063</v>
      </c>
      <c r="L265" s="166">
        <f t="shared" ca="1" si="171"/>
        <v>263763.51232652657</v>
      </c>
      <c r="M265" s="166">
        <f t="shared" ca="1" si="171"/>
        <v>277151.68794285296</v>
      </c>
      <c r="N265" s="166">
        <f t="shared" ca="1" si="171"/>
        <v>291209.2723399956</v>
      </c>
      <c r="O265" s="166">
        <f t="shared" ca="1" si="171"/>
        <v>305969.7359569954</v>
      </c>
      <c r="P265" s="166">
        <f t="shared" ca="1" si="171"/>
        <v>321468.22275484528</v>
      </c>
      <c r="Q265" s="166">
        <f t="shared" ca="1" si="171"/>
        <v>337741.63389258744</v>
      </c>
      <c r="R265" s="166">
        <f t="shared" ca="1" si="171"/>
        <v>354828.71558721684</v>
      </c>
      <c r="S265" s="166">
        <f t="shared" ca="1" si="171"/>
        <v>372770.15136657777</v>
      </c>
      <c r="T265" s="166">
        <f t="shared" ca="1" si="171"/>
        <v>391608.65893490671</v>
      </c>
      <c r="U265" s="166">
        <f t="shared" ca="1" si="171"/>
        <v>411389.09188165207</v>
      </c>
      <c r="V265" s="166">
        <f t="shared" ca="1" si="171"/>
        <v>432158.54647573474</v>
      </c>
      <c r="W265" s="166">
        <f t="shared" ca="1" si="171"/>
        <v>453966.47379952145</v>
      </c>
      <c r="X265" s="166">
        <f t="shared" ca="1" si="171"/>
        <v>476864.79748949746</v>
      </c>
      <c r="Y265" s="166">
        <f t="shared" ca="1" si="171"/>
        <v>500908.03736397234</v>
      </c>
      <c r="Z265" s="236"/>
      <c r="AA265" s="236"/>
      <c r="AB265" s="236"/>
      <c r="AC265" s="236"/>
      <c r="AD265" s="236"/>
      <c r="AE265" s="236"/>
      <c r="AF265" s="236"/>
      <c r="AG265" s="236"/>
      <c r="AH265" s="236"/>
      <c r="AI265" s="236"/>
      <c r="AJ265" s="236"/>
      <c r="AK265" s="236"/>
      <c r="AL265" s="236"/>
      <c r="AM265" s="236"/>
      <c r="AN265" s="236"/>
      <c r="AO265" s="236"/>
      <c r="AP265" s="236"/>
      <c r="AQ265" s="236"/>
      <c r="AR265" s="236"/>
      <c r="AS265" s="236"/>
      <c r="AT265" s="236"/>
      <c r="AU265" s="236"/>
      <c r="AV265" s="236"/>
      <c r="AW265" s="236"/>
      <c r="AX265" s="236"/>
      <c r="AY265" s="236"/>
      <c r="AZ265" s="237"/>
      <c r="BA265" s="237"/>
      <c r="BB265" s="237"/>
      <c r="BC265" s="237"/>
      <c r="BD265" s="237"/>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236"/>
      <c r="CE265" s="236"/>
    </row>
    <row r="266" spans="1:83" s="38" customFormat="1" ht="14" hidden="1" x14ac:dyDescent="0.3">
      <c r="A266" s="37"/>
      <c r="B266" s="37"/>
      <c r="C266" s="142" t="s">
        <v>281</v>
      </c>
      <c r="D266" s="142" t="s">
        <v>281</v>
      </c>
      <c r="E266" s="166">
        <f t="shared" ref="E266:F269" si="172">SUMPRODUCT(($D$245:$D$264=$C266)*E$245:E$264)</f>
        <v>-110555</v>
      </c>
      <c r="F266" s="166">
        <f t="shared" ca="1" si="172"/>
        <v>97307.722222222219</v>
      </c>
      <c r="G266" s="166">
        <f t="shared" ref="G266:P269" ca="1" si="173">SUMPRODUCT(($D$245:$D$264=$C266)*G$245:G$264)</f>
        <v>102423.10833333334</v>
      </c>
      <c r="H266" s="166">
        <f t="shared" ca="1" si="173"/>
        <v>107794.26375</v>
      </c>
      <c r="I266" s="166">
        <f t="shared" ca="1" si="173"/>
        <v>113433.97693750003</v>
      </c>
      <c r="J266" s="166">
        <f t="shared" ca="1" si="173"/>
        <v>119355.67578437502</v>
      </c>
      <c r="K266" s="166">
        <f t="shared" ca="1" si="173"/>
        <v>125573.45957359381</v>
      </c>
      <c r="L266" s="166">
        <f t="shared" ca="1" si="173"/>
        <v>132102.13255227348</v>
      </c>
      <c r="M266" s="166">
        <f t="shared" ca="1" si="173"/>
        <v>138957.23917988714</v>
      </c>
      <c r="N266" s="166">
        <f t="shared" ca="1" si="173"/>
        <v>146155.10113888149</v>
      </c>
      <c r="O266" s="166">
        <f t="shared" ca="1" si="173"/>
        <v>153712.85619582562</v>
      </c>
      <c r="P266" s="166">
        <f t="shared" ca="1" si="173"/>
        <v>161648.49900561685</v>
      </c>
      <c r="Q266" s="166">
        <f t="shared" ref="Q266:Y269" ca="1" si="174">SUMPRODUCT(($D$245:$D$264=$C266)*Q$245:Q$264)</f>
        <v>169980.92395589774</v>
      </c>
      <c r="R266" s="166">
        <f t="shared" ca="1" si="174"/>
        <v>178729.97015369264</v>
      </c>
      <c r="S266" s="166">
        <f t="shared" ca="1" si="174"/>
        <v>187916.46866137726</v>
      </c>
      <c r="T266" s="166">
        <f t="shared" ca="1" si="174"/>
        <v>197562.29209444611</v>
      </c>
      <c r="U266" s="166">
        <f t="shared" ca="1" si="174"/>
        <v>207690.40669916847</v>
      </c>
      <c r="V266" s="166">
        <f t="shared" ca="1" si="174"/>
        <v>218324.92703412691</v>
      </c>
      <c r="W266" s="166">
        <f t="shared" ca="1" si="174"/>
        <v>229491.17338583327</v>
      </c>
      <c r="X266" s="166">
        <f t="shared" ca="1" si="174"/>
        <v>241215.73205512494</v>
      </c>
      <c r="Y266" s="166">
        <f t="shared" ca="1" si="174"/>
        <v>253526.51865788118</v>
      </c>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97"/>
      <c r="BA266" s="197"/>
      <c r="BB266" s="197"/>
      <c r="BC266" s="197"/>
      <c r="BD266" s="197"/>
      <c r="BE266" s="60"/>
      <c r="BF266" s="60"/>
      <c r="BG266" s="60"/>
      <c r="BH266" s="60"/>
      <c r="BI266" s="60"/>
      <c r="BJ266" s="60"/>
      <c r="BK266" s="60"/>
      <c r="BL266" s="60"/>
      <c r="BM266" s="60"/>
      <c r="BN266" s="60"/>
      <c r="BO266" s="60"/>
      <c r="BP266" s="60"/>
      <c r="BQ266" s="60"/>
      <c r="BR266" s="60"/>
      <c r="BS266" s="60"/>
      <c r="BT266" s="60"/>
      <c r="BU266" s="60"/>
      <c r="BV266" s="60"/>
      <c r="BW266" s="60"/>
      <c r="BX266" s="60"/>
      <c r="BY266" s="60"/>
      <c r="BZ266" s="60"/>
      <c r="CA266" s="60"/>
      <c r="CB266" s="60"/>
      <c r="CC266" s="60"/>
      <c r="CD266" s="118"/>
      <c r="CE266" s="118"/>
    </row>
    <row r="267" spans="1:83" s="38" customFormat="1" ht="14" hidden="1" x14ac:dyDescent="0.3">
      <c r="A267" s="37"/>
      <c r="B267" s="37"/>
      <c r="C267" s="41" t="s">
        <v>282</v>
      </c>
      <c r="D267" s="41" t="s">
        <v>282</v>
      </c>
      <c r="E267" s="164">
        <f t="shared" si="172"/>
        <v>-127100</v>
      </c>
      <c r="F267" s="164">
        <f t="shared" ca="1" si="172"/>
        <v>46204.444444444438</v>
      </c>
      <c r="G267" s="164">
        <f t="shared" ca="1" si="173"/>
        <v>48514.666666666672</v>
      </c>
      <c r="H267" s="164">
        <f t="shared" ca="1" si="173"/>
        <v>50940.399999999994</v>
      </c>
      <c r="I267" s="164">
        <f t="shared" ca="1" si="173"/>
        <v>53487.420000000006</v>
      </c>
      <c r="J267" s="164">
        <f t="shared" ca="1" si="173"/>
        <v>56161.791000000012</v>
      </c>
      <c r="K267" s="164">
        <f t="shared" ca="1" si="173"/>
        <v>58969.880550000016</v>
      </c>
      <c r="L267" s="164">
        <f t="shared" ca="1" si="173"/>
        <v>61918.374577500013</v>
      </c>
      <c r="M267" s="164">
        <f t="shared" ca="1" si="173"/>
        <v>65014.293306375024</v>
      </c>
      <c r="N267" s="164">
        <f t="shared" ca="1" si="173"/>
        <v>68265.007971693776</v>
      </c>
      <c r="O267" s="164">
        <f t="shared" ca="1" si="173"/>
        <v>71678.258370278461</v>
      </c>
      <c r="P267" s="164">
        <f t="shared" ca="1" si="173"/>
        <v>75262.171288792379</v>
      </c>
      <c r="Q267" s="164">
        <f t="shared" ca="1" si="174"/>
        <v>79025.279853232001</v>
      </c>
      <c r="R267" s="164">
        <f t="shared" ca="1" si="174"/>
        <v>82976.543845893611</v>
      </c>
      <c r="S267" s="164">
        <f t="shared" ca="1" si="174"/>
        <v>87125.371038188299</v>
      </c>
      <c r="T267" s="164">
        <f t="shared" ca="1" si="174"/>
        <v>91481.639590097722</v>
      </c>
      <c r="U267" s="164">
        <f t="shared" ca="1" si="174"/>
        <v>96055.721569602611</v>
      </c>
      <c r="V267" s="164">
        <f t="shared" ca="1" si="174"/>
        <v>100858.50764808274</v>
      </c>
      <c r="W267" s="164">
        <f t="shared" ca="1" si="174"/>
        <v>105901.43303048691</v>
      </c>
      <c r="X267" s="164">
        <f t="shared" ca="1" si="174"/>
        <v>111196.50468201123</v>
      </c>
      <c r="Y267" s="164">
        <f t="shared" ca="1" si="174"/>
        <v>116756.3299161118</v>
      </c>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97"/>
      <c r="BA267" s="197"/>
      <c r="BB267" s="197"/>
      <c r="BC267" s="197"/>
      <c r="BD267" s="197"/>
      <c r="BE267" s="60"/>
      <c r="BF267" s="60"/>
      <c r="BG267" s="60"/>
      <c r="BH267" s="60"/>
      <c r="BI267" s="60"/>
      <c r="BJ267" s="60"/>
      <c r="BK267" s="60"/>
      <c r="BL267" s="60"/>
      <c r="BM267" s="60"/>
      <c r="BN267" s="60"/>
      <c r="BO267" s="60"/>
      <c r="BP267" s="60"/>
      <c r="BQ267" s="60"/>
      <c r="BR267" s="60"/>
      <c r="BS267" s="60"/>
      <c r="BT267" s="60"/>
      <c r="BU267" s="60"/>
      <c r="BV267" s="60"/>
      <c r="BW267" s="60"/>
      <c r="BX267" s="60"/>
      <c r="BY267" s="60"/>
      <c r="BZ267" s="60"/>
      <c r="CA267" s="60"/>
      <c r="CB267" s="60"/>
      <c r="CC267" s="60"/>
      <c r="CD267" s="118"/>
      <c r="CE267" s="118"/>
    </row>
    <row r="268" spans="1:83" s="38" customFormat="1" ht="14" hidden="1" x14ac:dyDescent="0.3">
      <c r="A268" s="37"/>
      <c r="B268" s="37"/>
      <c r="C268" s="41" t="s">
        <v>283</v>
      </c>
      <c r="D268" s="41" t="s">
        <v>283</v>
      </c>
      <c r="E268" s="164">
        <f t="shared" si="172"/>
        <v>-296670</v>
      </c>
      <c r="F268" s="164">
        <f t="shared" ca="1" si="172"/>
        <v>50048.2</v>
      </c>
      <c r="G268" s="164">
        <f t="shared" ca="1" si="173"/>
        <v>52500.61</v>
      </c>
      <c r="H268" s="164">
        <f t="shared" ca="1" si="173"/>
        <v>55075.640500000001</v>
      </c>
      <c r="I268" s="164">
        <f t="shared" ca="1" si="173"/>
        <v>57779.422525000009</v>
      </c>
      <c r="J268" s="164">
        <f t="shared" ca="1" si="173"/>
        <v>60618.393651250008</v>
      </c>
      <c r="K268" s="164">
        <f t="shared" ca="1" si="173"/>
        <v>63599.313333812519</v>
      </c>
      <c r="L268" s="164">
        <f t="shared" ca="1" si="173"/>
        <v>66729.279000503157</v>
      </c>
      <c r="M268" s="164">
        <f t="shared" ca="1" si="173"/>
        <v>70015.742950528307</v>
      </c>
      <c r="N268" s="164">
        <f t="shared" ca="1" si="173"/>
        <v>73466.530098054718</v>
      </c>
      <c r="O268" s="164">
        <f t="shared" ca="1" si="173"/>
        <v>77089.856602957472</v>
      </c>
      <c r="P268" s="164">
        <f t="shared" ca="1" si="173"/>
        <v>80894.349433105323</v>
      </c>
      <c r="Q268" s="164">
        <f t="shared" ca="1" si="174"/>
        <v>84889.066904760606</v>
      </c>
      <c r="R268" s="164">
        <f t="shared" ca="1" si="174"/>
        <v>89083.520249998648</v>
      </c>
      <c r="S268" s="164">
        <f t="shared" ca="1" si="174"/>
        <v>93487.696262498575</v>
      </c>
      <c r="T268" s="164">
        <f t="shared" ca="1" si="174"/>
        <v>98112.081075623515</v>
      </c>
      <c r="U268" s="164">
        <f t="shared" ca="1" si="174"/>
        <v>102967.68512940469</v>
      </c>
      <c r="V268" s="164">
        <f t="shared" ca="1" si="174"/>
        <v>108066.06938587494</v>
      </c>
      <c r="W268" s="164">
        <f t="shared" ca="1" si="174"/>
        <v>113419.37285516869</v>
      </c>
      <c r="X268" s="164">
        <f t="shared" ca="1" si="174"/>
        <v>119040.34149792715</v>
      </c>
      <c r="Y268" s="164">
        <f t="shared" ca="1" si="174"/>
        <v>124942.35857282349</v>
      </c>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97"/>
      <c r="BA268" s="197"/>
      <c r="BB268" s="197"/>
      <c r="BC268" s="197"/>
      <c r="BD268" s="197"/>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c r="CA268" s="60"/>
      <c r="CB268" s="60"/>
      <c r="CC268" s="60"/>
      <c r="CD268" s="118"/>
      <c r="CE268" s="118"/>
    </row>
    <row r="269" spans="1:83" s="38" customFormat="1" ht="14" hidden="1" x14ac:dyDescent="0.3">
      <c r="A269" s="37"/>
      <c r="B269" s="37"/>
      <c r="C269" s="41"/>
      <c r="D269" s="41" t="s">
        <v>296</v>
      </c>
      <c r="E269" s="164">
        <f t="shared" si="172"/>
        <v>0</v>
      </c>
      <c r="F269" s="164">
        <f t="shared" ca="1" si="172"/>
        <v>0</v>
      </c>
      <c r="G269" s="164">
        <f t="shared" ca="1" si="173"/>
        <v>0</v>
      </c>
      <c r="H269" s="164">
        <f t="shared" ca="1" si="173"/>
        <v>0</v>
      </c>
      <c r="I269" s="164">
        <f t="shared" ca="1" si="173"/>
        <v>0</v>
      </c>
      <c r="J269" s="164">
        <f t="shared" ca="1" si="173"/>
        <v>0</v>
      </c>
      <c r="K269" s="164">
        <f t="shared" ca="1" si="173"/>
        <v>0</v>
      </c>
      <c r="L269" s="164">
        <f t="shared" ca="1" si="173"/>
        <v>0</v>
      </c>
      <c r="M269" s="164">
        <f t="shared" ca="1" si="173"/>
        <v>0</v>
      </c>
      <c r="N269" s="164">
        <f t="shared" ca="1" si="173"/>
        <v>0</v>
      </c>
      <c r="O269" s="164">
        <f t="shared" ca="1" si="173"/>
        <v>0</v>
      </c>
      <c r="P269" s="164">
        <f t="shared" ca="1" si="173"/>
        <v>0</v>
      </c>
      <c r="Q269" s="164">
        <f t="shared" ca="1" si="174"/>
        <v>0</v>
      </c>
      <c r="R269" s="164">
        <f t="shared" ca="1" si="174"/>
        <v>0</v>
      </c>
      <c r="S269" s="164">
        <f t="shared" ca="1" si="174"/>
        <v>0</v>
      </c>
      <c r="T269" s="164">
        <f t="shared" ca="1" si="174"/>
        <v>0</v>
      </c>
      <c r="U269" s="164">
        <f t="shared" ca="1" si="174"/>
        <v>0</v>
      </c>
      <c r="V269" s="164">
        <f t="shared" ca="1" si="174"/>
        <v>0</v>
      </c>
      <c r="W269" s="164">
        <f t="shared" ca="1" si="174"/>
        <v>0</v>
      </c>
      <c r="X269" s="164">
        <f t="shared" ca="1" si="174"/>
        <v>0</v>
      </c>
      <c r="Y269" s="164">
        <f t="shared" ca="1" si="174"/>
        <v>0</v>
      </c>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97"/>
      <c r="BA269" s="197"/>
      <c r="BB269" s="197"/>
      <c r="BC269" s="197"/>
      <c r="BD269" s="197"/>
      <c r="BE269" s="60"/>
      <c r="BF269" s="60"/>
      <c r="BG269" s="60"/>
      <c r="BH269" s="60"/>
      <c r="BI269" s="60"/>
      <c r="BJ269" s="60"/>
      <c r="BK269" s="60"/>
      <c r="BL269" s="60"/>
      <c r="BM269" s="60"/>
      <c r="BN269" s="60"/>
      <c r="BO269" s="60"/>
      <c r="BP269" s="60"/>
      <c r="BQ269" s="60"/>
      <c r="BR269" s="60"/>
      <c r="BS269" s="60"/>
      <c r="BT269" s="60"/>
      <c r="BU269" s="60"/>
      <c r="BV269" s="60"/>
      <c r="BW269" s="60"/>
      <c r="BX269" s="60"/>
      <c r="BY269" s="60"/>
      <c r="BZ269" s="60"/>
      <c r="CA269" s="60"/>
      <c r="CB269" s="60"/>
      <c r="CC269" s="60"/>
      <c r="CD269" s="118"/>
      <c r="CE269" s="118"/>
    </row>
    <row r="270" spans="1:83" s="38" customFormat="1" ht="14" hidden="1" x14ac:dyDescent="0.3">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97"/>
      <c r="BA270" s="197"/>
      <c r="BB270" s="197"/>
      <c r="BC270" s="197"/>
      <c r="BD270" s="197"/>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118"/>
      <c r="CE270" s="118"/>
    </row>
    <row r="271" spans="1:83" s="38" customFormat="1" ht="14" hidden="1" x14ac:dyDescent="0.3">
      <c r="A271" s="37"/>
      <c r="B271" s="37"/>
      <c r="C271" s="37" t="s">
        <v>279</v>
      </c>
      <c r="D271" s="37"/>
      <c r="E271" s="37"/>
      <c r="F271" s="37"/>
      <c r="G271" s="37"/>
      <c r="H271" s="37"/>
      <c r="I271" s="37"/>
      <c r="J271" s="37"/>
      <c r="K271" s="37"/>
      <c r="L271" s="37"/>
      <c r="M271" s="37"/>
      <c r="N271" s="37"/>
      <c r="O271" s="37"/>
      <c r="P271" s="37"/>
      <c r="Q271" s="37"/>
      <c r="R271" s="37"/>
      <c r="S271" s="37"/>
      <c r="T271" s="37"/>
      <c r="U271" s="37"/>
      <c r="V271" s="37"/>
      <c r="W271" s="37"/>
      <c r="X271" s="37"/>
      <c r="Y271" s="37"/>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97"/>
      <c r="BA271" s="197"/>
      <c r="BB271" s="197"/>
      <c r="BC271" s="197"/>
      <c r="BD271" s="197"/>
      <c r="BE271" s="60"/>
      <c r="BF271" s="60"/>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118"/>
      <c r="CE271" s="118"/>
    </row>
    <row r="272" spans="1:83" s="38" customFormat="1" ht="14" hidden="1" x14ac:dyDescent="0.3">
      <c r="A272" s="37"/>
      <c r="B272" s="37"/>
      <c r="C272" s="37" t="s">
        <v>278</v>
      </c>
      <c r="D272" s="37"/>
      <c r="E272" s="37"/>
      <c r="F272" s="37"/>
      <c r="G272" s="37"/>
      <c r="H272" s="37"/>
      <c r="I272" s="37"/>
      <c r="J272" s="37"/>
      <c r="K272" s="37"/>
      <c r="L272" s="37"/>
      <c r="M272" s="37"/>
      <c r="N272" s="37"/>
      <c r="O272" s="37"/>
      <c r="P272" s="37"/>
      <c r="Q272" s="37"/>
      <c r="R272" s="37"/>
      <c r="S272" s="37"/>
      <c r="T272" s="37"/>
      <c r="U272" s="37"/>
      <c r="V272" s="37"/>
      <c r="W272" s="37"/>
      <c r="X272" s="37"/>
      <c r="Y272" s="37"/>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97"/>
      <c r="BA272" s="197"/>
      <c r="BB272" s="197"/>
      <c r="BC272" s="197"/>
      <c r="BD272" s="197"/>
      <c r="BE272" s="60"/>
      <c r="BF272" s="60"/>
      <c r="BG272" s="60"/>
      <c r="BH272" s="60"/>
      <c r="BI272" s="60"/>
      <c r="BJ272" s="60"/>
      <c r="BK272" s="60"/>
      <c r="BL272" s="60"/>
      <c r="BM272" s="60"/>
      <c r="BN272" s="60"/>
      <c r="BO272" s="60"/>
      <c r="BP272" s="60"/>
      <c r="BQ272" s="60"/>
      <c r="BR272" s="60"/>
      <c r="BS272" s="60"/>
      <c r="BT272" s="60"/>
      <c r="BU272" s="60"/>
      <c r="BV272" s="60"/>
      <c r="BW272" s="60"/>
      <c r="BX272" s="60"/>
      <c r="BY272" s="60"/>
      <c r="BZ272" s="60"/>
      <c r="CA272" s="60"/>
      <c r="CB272" s="60"/>
      <c r="CC272" s="60"/>
      <c r="CD272" s="118"/>
      <c r="CE272" s="118"/>
    </row>
    <row r="273" spans="1:83" s="38" customFormat="1" ht="14" hidden="1" x14ac:dyDescent="0.3">
      <c r="A273" s="139"/>
      <c r="B273" s="139"/>
      <c r="C273" s="167"/>
      <c r="D273" s="168"/>
      <c r="E273" s="139">
        <v>0</v>
      </c>
      <c r="F273" s="139">
        <f t="shared" ref="F273:U273" si="175">E273+1</f>
        <v>1</v>
      </c>
      <c r="G273" s="139">
        <f t="shared" si="175"/>
        <v>2</v>
      </c>
      <c r="H273" s="139">
        <f t="shared" si="175"/>
        <v>3</v>
      </c>
      <c r="I273" s="139">
        <f t="shared" si="175"/>
        <v>4</v>
      </c>
      <c r="J273" s="139">
        <f t="shared" si="175"/>
        <v>5</v>
      </c>
      <c r="K273" s="139">
        <f t="shared" si="175"/>
        <v>6</v>
      </c>
      <c r="L273" s="139">
        <f t="shared" si="175"/>
        <v>7</v>
      </c>
      <c r="M273" s="139">
        <f t="shared" si="175"/>
        <v>8</v>
      </c>
      <c r="N273" s="139">
        <f t="shared" si="175"/>
        <v>9</v>
      </c>
      <c r="O273" s="139">
        <f t="shared" si="175"/>
        <v>10</v>
      </c>
      <c r="P273" s="139">
        <f t="shared" si="175"/>
        <v>11</v>
      </c>
      <c r="Q273" s="139">
        <f t="shared" si="175"/>
        <v>12</v>
      </c>
      <c r="R273" s="139">
        <f t="shared" si="175"/>
        <v>13</v>
      </c>
      <c r="S273" s="139">
        <f t="shared" si="175"/>
        <v>14</v>
      </c>
      <c r="T273" s="139">
        <f t="shared" si="175"/>
        <v>15</v>
      </c>
      <c r="U273" s="139">
        <f t="shared" si="175"/>
        <v>16</v>
      </c>
      <c r="V273" s="139">
        <f>U273+1</f>
        <v>17</v>
      </c>
      <c r="W273" s="139">
        <f>V273+1</f>
        <v>18</v>
      </c>
      <c r="X273" s="139">
        <f>W273+1</f>
        <v>19</v>
      </c>
      <c r="Y273" s="139">
        <f>X273+1</f>
        <v>20</v>
      </c>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97"/>
      <c r="BA273" s="197"/>
      <c r="BB273" s="197"/>
      <c r="BC273" s="197"/>
      <c r="BD273" s="197"/>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118"/>
      <c r="CE273" s="118"/>
    </row>
    <row r="274" spans="1:83" s="38" customFormat="1" ht="14" hidden="1" x14ac:dyDescent="0.3">
      <c r="A274" s="37"/>
      <c r="B274" s="37"/>
      <c r="C274" s="142" t="s">
        <v>113</v>
      </c>
      <c r="D274" s="144" t="str">
        <f t="shared" ref="D274:D293" si="176">D7</f>
        <v>Prioritaire</v>
      </c>
      <c r="E274" s="166">
        <f t="shared" ref="E274:F293" si="177">E245*E$95</f>
        <v>-50000</v>
      </c>
      <c r="F274" s="166">
        <f t="shared" ca="1" si="177"/>
        <v>38773.232323232318</v>
      </c>
      <c r="G274" s="166">
        <f t="shared" ref="G274:Y274" ca="1" si="178">G245*G$95</f>
        <v>37134.77961432506</v>
      </c>
      <c r="H274" s="166">
        <f t="shared" ca="1" si="178"/>
        <v>35559.532306536428</v>
      </c>
      <c r="I274" s="166">
        <f t="shared" ca="1" si="178"/>
        <v>34045.641947271353</v>
      </c>
      <c r="J274" s="166">
        <f t="shared" ca="1" si="178"/>
        <v>32591.250966308806</v>
      </c>
      <c r="K274" s="166">
        <f t="shared" ca="1" si="178"/>
        <v>31194.501557348292</v>
      </c>
      <c r="L274" s="166">
        <f t="shared" ca="1" si="178"/>
        <v>29853.543386112513</v>
      </c>
      <c r="M274" s="166">
        <f t="shared" ca="1" si="178"/>
        <v>28566.540248320678</v>
      </c>
      <c r="N274" s="166">
        <f t="shared" ca="1" si="178"/>
        <v>27331.675788880155</v>
      </c>
      <c r="O274" s="166">
        <f t="shared" ca="1" si="178"/>
        <v>26147.158382800033</v>
      </c>
      <c r="P274" s="166">
        <f t="shared" ca="1" si="178"/>
        <v>25011.225268504051</v>
      </c>
      <c r="Q274" s="166">
        <f t="shared" ca="1" si="178"/>
        <v>23922.146015319518</v>
      </c>
      <c r="R274" s="166">
        <f t="shared" ca="1" si="178"/>
        <v>22878.225398856408</v>
      </c>
      <c r="S274" s="166">
        <f t="shared" ca="1" si="178"/>
        <v>21877.805750690663</v>
      </c>
      <c r="T274" s="166">
        <f t="shared" ca="1" si="178"/>
        <v>20919.26884215555</v>
      </c>
      <c r="U274" s="166">
        <f t="shared" ca="1" si="178"/>
        <v>20001.037356062458</v>
      </c>
      <c r="V274" s="166">
        <f t="shared" ca="1" si="178"/>
        <v>19121.575994758277</v>
      </c>
      <c r="W274" s="166">
        <f t="shared" ca="1" si="178"/>
        <v>18279.392268028376</v>
      </c>
      <c r="X274" s="166">
        <f t="shared" ca="1" si="178"/>
        <v>17473.036999923788</v>
      </c>
      <c r="Y274" s="166">
        <f t="shared" ca="1" si="178"/>
        <v>16701.104589585426</v>
      </c>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97"/>
      <c r="BA274" s="197"/>
      <c r="BB274" s="197"/>
      <c r="BC274" s="197"/>
      <c r="BD274" s="197"/>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118"/>
      <c r="CE274" s="118"/>
    </row>
    <row r="275" spans="1:83" s="38" customFormat="1" ht="14" hidden="1" x14ac:dyDescent="0.3">
      <c r="A275" s="37"/>
      <c r="B275" s="37"/>
      <c r="C275" s="41" t="s">
        <v>114</v>
      </c>
      <c r="D275" s="145" t="str">
        <f t="shared" si="176"/>
        <v>Très ambitieux</v>
      </c>
      <c r="E275" s="164">
        <f t="shared" si="177"/>
        <v>-31530</v>
      </c>
      <c r="F275" s="164">
        <f t="shared" ca="1" si="177"/>
        <v>4565.454545454545</v>
      </c>
      <c r="G275" s="164">
        <f t="shared" ref="G275:Y275" ca="1" si="179">G246*G$95</f>
        <v>4357.9338842975203</v>
      </c>
      <c r="H275" s="164">
        <f t="shared" ca="1" si="179"/>
        <v>4159.8459804658141</v>
      </c>
      <c r="I275" s="164">
        <f t="shared" ca="1" si="179"/>
        <v>3970.762072262823</v>
      </c>
      <c r="J275" s="164">
        <f t="shared" ca="1" si="179"/>
        <v>3790.272887159967</v>
      </c>
      <c r="K275" s="164">
        <f t="shared" ca="1" si="179"/>
        <v>3617.9877559254237</v>
      </c>
      <c r="L275" s="164">
        <f t="shared" ca="1" si="179"/>
        <v>3453.5337670197218</v>
      </c>
      <c r="M275" s="164">
        <f t="shared" ca="1" si="179"/>
        <v>3296.5549594279164</v>
      </c>
      <c r="N275" s="164">
        <f t="shared" ca="1" si="179"/>
        <v>3146.7115521811929</v>
      </c>
      <c r="O275" s="164">
        <f t="shared" ca="1" si="179"/>
        <v>3003.6792089002297</v>
      </c>
      <c r="P275" s="164">
        <f t="shared" ca="1" si="179"/>
        <v>2867.1483357684006</v>
      </c>
      <c r="Q275" s="164">
        <f t="shared" ca="1" si="179"/>
        <v>2736.8234114152915</v>
      </c>
      <c r="R275" s="164">
        <f t="shared" ca="1" si="179"/>
        <v>2612.4223472600515</v>
      </c>
      <c r="S275" s="164">
        <f t="shared" ca="1" si="179"/>
        <v>2493.6758769300482</v>
      </c>
      <c r="T275" s="164">
        <f t="shared" ca="1" si="179"/>
        <v>2380.326973433228</v>
      </c>
      <c r="U275" s="164">
        <f t="shared" ca="1" si="179"/>
        <v>2272.1302928226269</v>
      </c>
      <c r="V275" s="164">
        <f t="shared" ca="1" si="179"/>
        <v>2168.8516431488711</v>
      </c>
      <c r="W275" s="164">
        <f t="shared" ca="1" si="179"/>
        <v>2070.2674775511955</v>
      </c>
      <c r="X275" s="164">
        <f t="shared" ca="1" si="179"/>
        <v>1976.1644103897768</v>
      </c>
      <c r="Y275" s="164">
        <f t="shared" ca="1" si="179"/>
        <v>1886.3387553720602</v>
      </c>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97"/>
      <c r="BA275" s="197"/>
      <c r="BB275" s="197"/>
      <c r="BC275" s="197"/>
      <c r="BD275" s="197"/>
      <c r="BE275" s="60"/>
      <c r="BF275" s="60"/>
      <c r="BG275" s="60"/>
      <c r="BH275" s="60"/>
      <c r="BI275" s="60"/>
      <c r="BJ275" s="60"/>
      <c r="BK275" s="60"/>
      <c r="BL275" s="60"/>
      <c r="BM275" s="60"/>
      <c r="BN275" s="60"/>
      <c r="BO275" s="60"/>
      <c r="BP275" s="60"/>
      <c r="BQ275" s="60"/>
      <c r="BR275" s="60"/>
      <c r="BS275" s="60"/>
      <c r="BT275" s="60"/>
      <c r="BU275" s="60"/>
      <c r="BV275" s="60"/>
      <c r="BW275" s="60"/>
      <c r="BX275" s="60"/>
      <c r="BY275" s="60"/>
      <c r="BZ275" s="60"/>
      <c r="CA275" s="60"/>
      <c r="CB275" s="60"/>
      <c r="CC275" s="60"/>
      <c r="CD275" s="118"/>
      <c r="CE275" s="118"/>
    </row>
    <row r="276" spans="1:83" s="38" customFormat="1" ht="14" hidden="1" x14ac:dyDescent="0.3">
      <c r="A276" s="37"/>
      <c r="B276" s="37"/>
      <c r="C276" s="41" t="s">
        <v>115</v>
      </c>
      <c r="D276" s="145" t="str">
        <f t="shared" si="176"/>
        <v>Très ambitieux</v>
      </c>
      <c r="E276" s="164">
        <f t="shared" si="177"/>
        <v>-53340</v>
      </c>
      <c r="F276" s="164">
        <f t="shared" ca="1" si="177"/>
        <v>8594.2727272727279</v>
      </c>
      <c r="G276" s="164">
        <f t="shared" ref="G276:Y276" ca="1" si="180">G247*G$95</f>
        <v>8162.3016528925627</v>
      </c>
      <c r="H276" s="164">
        <f t="shared" ca="1" si="180"/>
        <v>7753.7222013523651</v>
      </c>
      <c r="I276" s="164">
        <f t="shared" ca="1" si="180"/>
        <v>7367.1296103408231</v>
      </c>
      <c r="J276" s="164">
        <f t="shared" ca="1" si="180"/>
        <v>7001.2140164451002</v>
      </c>
      <c r="K276" s="164">
        <f t="shared" ca="1" si="180"/>
        <v>6654.7533191949078</v>
      </c>
      <c r="L276" s="164">
        <f t="shared" ca="1" si="180"/>
        <v>6326.6066260472389</v>
      </c>
      <c r="M276" s="164">
        <f t="shared" ca="1" si="180"/>
        <v>6015.7082285800598</v>
      </c>
      <c r="N276" s="164">
        <f t="shared" ca="1" si="180"/>
        <v>5721.0620645441604</v>
      </c>
      <c r="O276" s="164">
        <f t="shared" ca="1" si="180"/>
        <v>5441.7366244115847</v>
      </c>
      <c r="P276" s="164">
        <f t="shared" ca="1" si="180"/>
        <v>5176.8602646915333</v>
      </c>
      <c r="Q276" s="164">
        <f t="shared" ca="1" si="180"/>
        <v>4925.6168935927644</v>
      </c>
      <c r="R276" s="164">
        <f t="shared" ca="1" si="180"/>
        <v>4687.241997624441</v>
      </c>
      <c r="S276" s="164">
        <f t="shared" ca="1" si="180"/>
        <v>4461.018980471662</v>
      </c>
      <c r="T276" s="164">
        <f t="shared" ca="1" si="180"/>
        <v>4246.2757879817646</v>
      </c>
      <c r="U276" s="164">
        <f t="shared" ca="1" si="180"/>
        <v>4042.3817953749044</v>
      </c>
      <c r="V276" s="164">
        <f t="shared" ca="1" si="180"/>
        <v>3848.7449348674022</v>
      </c>
      <c r="W276" s="164">
        <f t="shared" ca="1" si="180"/>
        <v>3664.8090437870596</v>
      </c>
      <c r="X276" s="164">
        <f t="shared" ca="1" si="180"/>
        <v>3490.0514149826827</v>
      </c>
      <c r="Y276" s="164">
        <f t="shared" ca="1" si="180"/>
        <v>3323.9805329004453</v>
      </c>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97"/>
      <c r="BA276" s="197"/>
      <c r="BB276" s="197"/>
      <c r="BC276" s="197"/>
      <c r="BD276" s="197"/>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118"/>
      <c r="CE276" s="118"/>
    </row>
    <row r="277" spans="1:83" s="38" customFormat="1" ht="14" hidden="1" x14ac:dyDescent="0.3">
      <c r="A277" s="37"/>
      <c r="B277" s="37"/>
      <c r="C277" s="41" t="s">
        <v>116</v>
      </c>
      <c r="D277" s="145" t="str">
        <f t="shared" si="176"/>
        <v>Très ambitieux</v>
      </c>
      <c r="E277" s="164">
        <f t="shared" si="177"/>
        <v>-49500</v>
      </c>
      <c r="F277" s="164">
        <f t="shared" ca="1" si="177"/>
        <v>8370</v>
      </c>
      <c r="G277" s="164">
        <f t="shared" ref="G277:Y277" ca="1" si="181">G248*G$95</f>
        <v>7989.545454545454</v>
      </c>
      <c r="H277" s="164">
        <f t="shared" ca="1" si="181"/>
        <v>7626.3842975206589</v>
      </c>
      <c r="I277" s="164">
        <f t="shared" ca="1" si="181"/>
        <v>7279.7304658151761</v>
      </c>
      <c r="J277" s="164">
        <f t="shared" ca="1" si="181"/>
        <v>6948.8336264599393</v>
      </c>
      <c r="K277" s="164">
        <f t="shared" ca="1" si="181"/>
        <v>6632.9775525299438</v>
      </c>
      <c r="L277" s="164">
        <f t="shared" ca="1" si="181"/>
        <v>6331.4785728694897</v>
      </c>
      <c r="M277" s="164">
        <f t="shared" ca="1" si="181"/>
        <v>6043.684092284514</v>
      </c>
      <c r="N277" s="164">
        <f t="shared" ca="1" si="181"/>
        <v>5768.9711789988532</v>
      </c>
      <c r="O277" s="164">
        <f t="shared" ca="1" si="181"/>
        <v>5506.7452163170874</v>
      </c>
      <c r="P277" s="164">
        <f t="shared" ca="1" si="181"/>
        <v>5256.4386155754009</v>
      </c>
      <c r="Q277" s="164">
        <f t="shared" ca="1" si="181"/>
        <v>5017.5095875947018</v>
      </c>
      <c r="R277" s="164">
        <f t="shared" ca="1" si="181"/>
        <v>4789.4409699767612</v>
      </c>
      <c r="S277" s="164">
        <f t="shared" ca="1" si="181"/>
        <v>4571.7391077050879</v>
      </c>
      <c r="T277" s="164">
        <f t="shared" ca="1" si="181"/>
        <v>4363.9327846275846</v>
      </c>
      <c r="U277" s="164">
        <f t="shared" ca="1" si="181"/>
        <v>4165.5722035081499</v>
      </c>
      <c r="V277" s="164">
        <f t="shared" ca="1" si="181"/>
        <v>3976.2280124395979</v>
      </c>
      <c r="W277" s="164">
        <f t="shared" ca="1" si="181"/>
        <v>3795.4903755105247</v>
      </c>
      <c r="X277" s="164">
        <f t="shared" ca="1" si="181"/>
        <v>3622.9680857145913</v>
      </c>
      <c r="Y277" s="164">
        <f t="shared" ca="1" si="181"/>
        <v>3458.28771818211</v>
      </c>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97"/>
      <c r="BA277" s="197"/>
      <c r="BB277" s="197"/>
      <c r="BC277" s="197"/>
      <c r="BD277" s="197"/>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c r="CA277" s="60"/>
      <c r="CB277" s="60"/>
      <c r="CC277" s="60"/>
      <c r="CD277" s="118"/>
      <c r="CE277" s="118"/>
    </row>
    <row r="278" spans="1:83" s="38" customFormat="1" ht="14" hidden="1" x14ac:dyDescent="0.3">
      <c r="A278" s="37"/>
      <c r="B278" s="37"/>
      <c r="C278" s="41" t="s">
        <v>117</v>
      </c>
      <c r="D278" s="145" t="str">
        <f t="shared" si="176"/>
        <v>Prioritaire</v>
      </c>
      <c r="E278" s="164">
        <f t="shared" si="177"/>
        <v>-1500</v>
      </c>
      <c r="F278" s="164">
        <f t="shared" ca="1" si="177"/>
        <v>6625.909090909091</v>
      </c>
      <c r="G278" s="164">
        <f t="shared" ref="G278:Y278" ca="1" si="182">G249*G$95</f>
        <v>6386.7148760330583</v>
      </c>
      <c r="H278" s="164">
        <f t="shared" ca="1" si="182"/>
        <v>6152.7582644628092</v>
      </c>
      <c r="I278" s="164">
        <f t="shared" ca="1" si="182"/>
        <v>5924.313443412334</v>
      </c>
      <c r="J278" s="164">
        <f t="shared" ca="1" si="182"/>
        <v>5701.59556794121</v>
      </c>
      <c r="K278" s="164">
        <f t="shared" ca="1" si="182"/>
        <v>5484.7676777888255</v>
      </c>
      <c r="L278" s="164">
        <f t="shared" ca="1" si="182"/>
        <v>5273.9469149384531</v>
      </c>
      <c r="M278" s="164">
        <f t="shared" ca="1" si="182"/>
        <v>5069.210108684254</v>
      </c>
      <c r="N278" s="164">
        <f t="shared" ca="1" si="182"/>
        <v>4870.5987887583606</v>
      </c>
      <c r="O278" s="164">
        <f t="shared" ca="1" si="182"/>
        <v>4678.1236814311051</v>
      </c>
      <c r="P278" s="164">
        <f t="shared" ca="1" si="182"/>
        <v>4491.7687383726125</v>
      </c>
      <c r="Q278" s="164">
        <f t="shared" ca="1" si="182"/>
        <v>4311.4947434112255</v>
      </c>
      <c r="R278" s="164">
        <f t="shared" ca="1" si="182"/>
        <v>4137.2425381000585</v>
      </c>
      <c r="S278" s="164">
        <f t="shared" ca="1" si="182"/>
        <v>3968.9359031684648</v>
      </c>
      <c r="T278" s="164">
        <f t="shared" ca="1" si="182"/>
        <v>3806.484129454404</v>
      </c>
      <c r="U278" s="164">
        <f t="shared" ca="1" si="182"/>
        <v>3649.7843087543743</v>
      </c>
      <c r="V278" s="164">
        <f t="shared" ca="1" si="182"/>
        <v>3498.7233721603225</v>
      </c>
      <c r="W278" s="164">
        <f t="shared" ca="1" si="182"/>
        <v>3353.1799008507714</v>
      </c>
      <c r="X278" s="164">
        <f t="shared" ca="1" si="182"/>
        <v>3213.0257319422731</v>
      </c>
      <c r="Y278" s="164">
        <f t="shared" ca="1" si="182"/>
        <v>3078.1273798648899</v>
      </c>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97"/>
      <c r="BA278" s="197"/>
      <c r="BB278" s="197"/>
      <c r="BC278" s="197"/>
      <c r="BD278" s="197"/>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c r="CA278" s="60"/>
      <c r="CB278" s="60"/>
      <c r="CC278" s="60"/>
      <c r="CD278" s="118"/>
      <c r="CE278" s="118"/>
    </row>
    <row r="279" spans="1:83" s="38" customFormat="1" ht="14" hidden="1" x14ac:dyDescent="0.3">
      <c r="A279" s="37"/>
      <c r="B279" s="37"/>
      <c r="C279" s="41" t="s">
        <v>118</v>
      </c>
      <c r="D279" s="145" t="str">
        <f t="shared" si="176"/>
        <v>Ambitieux</v>
      </c>
      <c r="E279" s="164">
        <f t="shared" si="177"/>
        <v>-62100</v>
      </c>
      <c r="F279" s="164">
        <f t="shared" ca="1" si="177"/>
        <v>15983.838383838383</v>
      </c>
      <c r="G279" s="164">
        <f t="shared" ref="G279:Y279" ca="1" si="183">G250*G$95</f>
        <v>15257.300275482094</v>
      </c>
      <c r="H279" s="164">
        <f t="shared" ca="1" si="183"/>
        <v>14563.78662659654</v>
      </c>
      <c r="I279" s="164">
        <f t="shared" ca="1" si="183"/>
        <v>13901.796325387608</v>
      </c>
      <c r="J279" s="164">
        <f t="shared" ca="1" si="183"/>
        <v>13269.896492415442</v>
      </c>
      <c r="K279" s="164">
        <f t="shared" ca="1" si="183"/>
        <v>12666.719379123835</v>
      </c>
      <c r="L279" s="164">
        <f t="shared" ca="1" si="183"/>
        <v>12090.959407345475</v>
      </c>
      <c r="M279" s="164">
        <f t="shared" ca="1" si="183"/>
        <v>11541.370343375227</v>
      </c>
      <c r="N279" s="164">
        <f t="shared" ca="1" si="183"/>
        <v>11016.762600494534</v>
      </c>
      <c r="O279" s="164">
        <f t="shared" ca="1" si="183"/>
        <v>10516.000664108418</v>
      </c>
      <c r="P279" s="164">
        <f t="shared" ca="1" si="183"/>
        <v>10038.000633921671</v>
      </c>
      <c r="Q279" s="164">
        <f t="shared" ca="1" si="183"/>
        <v>9581.7278778343225</v>
      </c>
      <c r="R279" s="164">
        <f t="shared" ca="1" si="183"/>
        <v>9146.1947924782198</v>
      </c>
      <c r="S279" s="164">
        <f t="shared" ca="1" si="183"/>
        <v>8730.4586655473886</v>
      </c>
      <c r="T279" s="164">
        <f t="shared" ca="1" si="183"/>
        <v>8333.6196352952338</v>
      </c>
      <c r="U279" s="164">
        <f t="shared" ca="1" si="183"/>
        <v>7954.8187427818166</v>
      </c>
      <c r="V279" s="164">
        <f t="shared" ca="1" si="183"/>
        <v>7593.2360726553698</v>
      </c>
      <c r="W279" s="164">
        <f t="shared" ca="1" si="183"/>
        <v>7248.0889784437622</v>
      </c>
      <c r="X279" s="164">
        <f t="shared" ca="1" si="183"/>
        <v>6918.630388514498</v>
      </c>
      <c r="Y279" s="164">
        <f t="shared" ca="1" si="183"/>
        <v>6604.1471890365674</v>
      </c>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97"/>
      <c r="BA279" s="197"/>
      <c r="BB279" s="197"/>
      <c r="BC279" s="197"/>
      <c r="BD279" s="197"/>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A279" s="60"/>
      <c r="CB279" s="60"/>
      <c r="CC279" s="60"/>
      <c r="CD279" s="118"/>
      <c r="CE279" s="118"/>
    </row>
    <row r="280" spans="1:83" s="38" customFormat="1" ht="14" hidden="1" x14ac:dyDescent="0.3">
      <c r="A280" s="37"/>
      <c r="B280" s="37"/>
      <c r="C280" s="41" t="s">
        <v>123</v>
      </c>
      <c r="D280" s="145" t="str">
        <f t="shared" si="176"/>
        <v>Prioritaire</v>
      </c>
      <c r="E280" s="164">
        <f t="shared" si="177"/>
        <v>-50000</v>
      </c>
      <c r="F280" s="164">
        <f t="shared" ca="1" si="177"/>
        <v>22303.0303030303</v>
      </c>
      <c r="G280" s="164">
        <f t="shared" ref="G280:Y280" ca="1" si="184">G251*G$95</f>
        <v>21289.256198347106</v>
      </c>
      <c r="H280" s="164">
        <f t="shared" ca="1" si="184"/>
        <v>20321.562734785868</v>
      </c>
      <c r="I280" s="164">
        <f t="shared" ca="1" si="184"/>
        <v>19397.855337750148</v>
      </c>
      <c r="J280" s="164">
        <f t="shared" ca="1" si="184"/>
        <v>18516.134640579687</v>
      </c>
      <c r="K280" s="164">
        <f t="shared" ca="1" si="184"/>
        <v>17674.492156916975</v>
      </c>
      <c r="L280" s="164">
        <f t="shared" ca="1" si="184"/>
        <v>16871.106149784384</v>
      </c>
      <c r="M280" s="164">
        <f t="shared" ca="1" si="184"/>
        <v>16104.237688430547</v>
      </c>
      <c r="N280" s="164">
        <f t="shared" ca="1" si="184"/>
        <v>15372.226884410977</v>
      </c>
      <c r="O280" s="164">
        <f t="shared" ca="1" si="184"/>
        <v>14673.489298755932</v>
      </c>
      <c r="P280" s="164">
        <f t="shared" ca="1" si="184"/>
        <v>14006.512512448842</v>
      </c>
      <c r="Q280" s="164">
        <f t="shared" ca="1" si="184"/>
        <v>13369.852852792079</v>
      </c>
      <c r="R280" s="164">
        <f t="shared" ca="1" si="184"/>
        <v>12762.132268574258</v>
      </c>
      <c r="S280" s="164">
        <f t="shared" ca="1" si="184"/>
        <v>12182.035347275425</v>
      </c>
      <c r="T280" s="164">
        <f t="shared" ca="1" si="184"/>
        <v>11628.306467853816</v>
      </c>
      <c r="U280" s="164">
        <f t="shared" ca="1" si="184"/>
        <v>11099.74708295137</v>
      </c>
      <c r="V280" s="164">
        <f t="shared" ca="1" si="184"/>
        <v>10595.2131246354</v>
      </c>
      <c r="W280" s="164">
        <f t="shared" ca="1" si="184"/>
        <v>10113.612528061063</v>
      </c>
      <c r="X280" s="164">
        <f t="shared" ca="1" si="184"/>
        <v>9653.9028676946491</v>
      </c>
      <c r="Y280" s="164">
        <f t="shared" ca="1" si="184"/>
        <v>9215.0891009812567</v>
      </c>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97"/>
      <c r="BA280" s="197"/>
      <c r="BB280" s="197"/>
      <c r="BC280" s="197"/>
      <c r="BD280" s="197"/>
      <c r="BE280" s="60"/>
      <c r="BF280" s="60"/>
      <c r="BG280" s="60"/>
      <c r="BH280" s="60"/>
      <c r="BI280" s="60"/>
      <c r="BJ280" s="60"/>
      <c r="BK280" s="60"/>
      <c r="BL280" s="60"/>
      <c r="BM280" s="60"/>
      <c r="BN280" s="60"/>
      <c r="BO280" s="60"/>
      <c r="BP280" s="60"/>
      <c r="BQ280" s="60"/>
      <c r="BR280" s="60"/>
      <c r="BS280" s="60"/>
      <c r="BT280" s="60"/>
      <c r="BU280" s="60"/>
      <c r="BV280" s="60"/>
      <c r="BW280" s="60"/>
      <c r="BX280" s="60"/>
      <c r="BY280" s="60"/>
      <c r="BZ280" s="60"/>
      <c r="CA280" s="60"/>
      <c r="CB280" s="60"/>
      <c r="CC280" s="60"/>
      <c r="CD280" s="118"/>
      <c r="CE280" s="118"/>
    </row>
    <row r="281" spans="1:83" s="38" customFormat="1" ht="14" hidden="1" x14ac:dyDescent="0.3">
      <c r="A281" s="37"/>
      <c r="B281" s="37"/>
      <c r="C281" s="41" t="s">
        <v>124</v>
      </c>
      <c r="D281" s="145" t="str">
        <f t="shared" si="176"/>
        <v>Prioritaire</v>
      </c>
      <c r="E281" s="164">
        <f t="shared" si="177"/>
        <v>-4055</v>
      </c>
      <c r="F281" s="164">
        <f t="shared" ca="1" si="177"/>
        <v>13604.848484848484</v>
      </c>
      <c r="G281" s="164">
        <f t="shared" ref="G281:Y281" ca="1" si="185">G252*G$95</f>
        <v>12986.446280991733</v>
      </c>
      <c r="H281" s="164">
        <f t="shared" ca="1" si="185"/>
        <v>12396.153268219379</v>
      </c>
      <c r="I281" s="164">
        <f t="shared" ca="1" si="185"/>
        <v>11832.691756027591</v>
      </c>
      <c r="J281" s="164">
        <f t="shared" ca="1" si="185"/>
        <v>11294.842130753608</v>
      </c>
      <c r="K281" s="164">
        <f t="shared" ca="1" si="185"/>
        <v>10781.440215719354</v>
      </c>
      <c r="L281" s="164">
        <f t="shared" ca="1" si="185"/>
        <v>10291.374751368474</v>
      </c>
      <c r="M281" s="164">
        <f t="shared" ca="1" si="185"/>
        <v>9823.5849899426339</v>
      </c>
      <c r="N281" s="164">
        <f t="shared" ca="1" si="185"/>
        <v>9377.0583994906956</v>
      </c>
      <c r="O281" s="164">
        <f t="shared" ca="1" si="185"/>
        <v>8950.8284722411172</v>
      </c>
      <c r="P281" s="164">
        <f t="shared" ca="1" si="185"/>
        <v>8543.9726325937936</v>
      </c>
      <c r="Q281" s="164">
        <f t="shared" ca="1" si="185"/>
        <v>8155.6102402031675</v>
      </c>
      <c r="R281" s="164">
        <f t="shared" ca="1" si="185"/>
        <v>7784.9006838302976</v>
      </c>
      <c r="S281" s="164">
        <f t="shared" ca="1" si="185"/>
        <v>7431.0415618380093</v>
      </c>
      <c r="T281" s="164">
        <f t="shared" ca="1" si="185"/>
        <v>7093.2669453908275</v>
      </c>
      <c r="U281" s="164">
        <f t="shared" ca="1" si="185"/>
        <v>6770.845720600335</v>
      </c>
      <c r="V281" s="164">
        <f t="shared" ca="1" si="185"/>
        <v>6463.0800060275933</v>
      </c>
      <c r="W281" s="164">
        <f t="shared" ca="1" si="185"/>
        <v>6169.3036421172483</v>
      </c>
      <c r="X281" s="164">
        <f t="shared" ca="1" si="185"/>
        <v>5888.8807492937358</v>
      </c>
      <c r="Y281" s="164">
        <f t="shared" ca="1" si="185"/>
        <v>5621.2043515985661</v>
      </c>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97"/>
      <c r="BA281" s="197"/>
      <c r="BB281" s="197"/>
      <c r="BC281" s="197"/>
      <c r="BD281" s="197"/>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118"/>
      <c r="CE281" s="118"/>
    </row>
    <row r="282" spans="1:83" s="38" customFormat="1" ht="14" hidden="1" x14ac:dyDescent="0.3">
      <c r="A282" s="37"/>
      <c r="B282" s="37"/>
      <c r="C282" s="41" t="s">
        <v>125</v>
      </c>
      <c r="D282" s="145" t="str">
        <f t="shared" si="176"/>
        <v>Ambitieux</v>
      </c>
      <c r="E282" s="164">
        <f t="shared" si="177"/>
        <v>-65000</v>
      </c>
      <c r="F282" s="164">
        <f t="shared" ca="1" si="177"/>
        <v>26020.202020202018</v>
      </c>
      <c r="G282" s="164">
        <f t="shared" ref="G282:Y282" ca="1" si="186">G253*G$95</f>
        <v>24837.46556473829</v>
      </c>
      <c r="H282" s="164">
        <f t="shared" ca="1" si="186"/>
        <v>23708.489857250177</v>
      </c>
      <c r="I282" s="164">
        <f t="shared" ca="1" si="186"/>
        <v>22630.831227375176</v>
      </c>
      <c r="J282" s="164">
        <f t="shared" ca="1" si="186"/>
        <v>21602.157080676301</v>
      </c>
      <c r="K282" s="164">
        <f t="shared" ca="1" si="186"/>
        <v>20620.24084973647</v>
      </c>
      <c r="L282" s="164">
        <f t="shared" ca="1" si="186"/>
        <v>19682.957174748448</v>
      </c>
      <c r="M282" s="164">
        <f t="shared" ca="1" si="186"/>
        <v>18788.277303168972</v>
      </c>
      <c r="N282" s="164">
        <f t="shared" ca="1" si="186"/>
        <v>17934.264698479474</v>
      </c>
      <c r="O282" s="164">
        <f t="shared" ca="1" si="186"/>
        <v>17119.070848548585</v>
      </c>
      <c r="P282" s="164">
        <f t="shared" ca="1" si="186"/>
        <v>16340.931264523648</v>
      </c>
      <c r="Q282" s="164">
        <f t="shared" ca="1" si="186"/>
        <v>15598.161661590757</v>
      </c>
      <c r="R282" s="164">
        <f t="shared" ca="1" si="186"/>
        <v>14889.154313336634</v>
      </c>
      <c r="S282" s="164">
        <f t="shared" ca="1" si="186"/>
        <v>14212.374571821329</v>
      </c>
      <c r="T282" s="164">
        <f t="shared" ca="1" si="186"/>
        <v>13566.357545829451</v>
      </c>
      <c r="U282" s="164">
        <f t="shared" ca="1" si="186"/>
        <v>12949.704930109931</v>
      </c>
      <c r="V282" s="164">
        <f t="shared" ca="1" si="186"/>
        <v>12361.081978741298</v>
      </c>
      <c r="W282" s="164">
        <f t="shared" ca="1" si="186"/>
        <v>11799.21461607124</v>
      </c>
      <c r="X282" s="164">
        <f t="shared" ca="1" si="186"/>
        <v>11262.886678977089</v>
      </c>
      <c r="Y282" s="164">
        <f t="shared" ca="1" si="186"/>
        <v>10750.937284478132</v>
      </c>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97"/>
      <c r="BA282" s="197"/>
      <c r="BB282" s="197"/>
      <c r="BC282" s="197"/>
      <c r="BD282" s="197"/>
      <c r="BE282" s="60"/>
      <c r="BF282" s="60"/>
      <c r="BG282" s="60"/>
      <c r="BH282" s="60"/>
      <c r="BI282" s="60"/>
      <c r="BJ282" s="60"/>
      <c r="BK282" s="60"/>
      <c r="BL282" s="60"/>
      <c r="BM282" s="60"/>
      <c r="BN282" s="60"/>
      <c r="BO282" s="60"/>
      <c r="BP282" s="60"/>
      <c r="BQ282" s="60"/>
      <c r="BR282" s="60"/>
      <c r="BS282" s="60"/>
      <c r="BT282" s="60"/>
      <c r="BU282" s="60"/>
      <c r="BV282" s="60"/>
      <c r="BW282" s="60"/>
      <c r="BX282" s="60"/>
      <c r="BY282" s="60"/>
      <c r="BZ282" s="60"/>
      <c r="CA282" s="60"/>
      <c r="CB282" s="60"/>
      <c r="CC282" s="60"/>
      <c r="CD282" s="118"/>
      <c r="CE282" s="118"/>
    </row>
    <row r="283" spans="1:83" s="38" customFormat="1" ht="14" hidden="1" x14ac:dyDescent="0.3">
      <c r="A283" s="37"/>
      <c r="B283" s="37"/>
      <c r="C283" s="41" t="s">
        <v>126</v>
      </c>
      <c r="D283" s="145" t="str">
        <f t="shared" si="176"/>
        <v>Prioritaire</v>
      </c>
      <c r="E283" s="164">
        <f t="shared" si="177"/>
        <v>-5000</v>
      </c>
      <c r="F283" s="164">
        <f t="shared" ca="1" si="177"/>
        <v>7154.545454545454</v>
      </c>
      <c r="G283" s="164">
        <f t="shared" ref="G283:Y283" ca="1" si="187">G254*G$95</f>
        <v>6849.9999999999991</v>
      </c>
      <c r="H283" s="164">
        <f t="shared" ca="1" si="187"/>
        <v>6557.4192336589022</v>
      </c>
      <c r="I283" s="164">
        <f t="shared" ca="1" si="187"/>
        <v>6276.4300594221695</v>
      </c>
      <c r="J283" s="164">
        <f t="shared" ca="1" si="187"/>
        <v>6006.6608170703685</v>
      </c>
      <c r="K283" s="164">
        <f t="shared" ca="1" si="187"/>
        <v>5747.7426281821508</v>
      </c>
      <c r="L283" s="164">
        <f t="shared" ca="1" si="187"/>
        <v>5499.3105525841829</v>
      </c>
      <c r="M283" s="164">
        <f t="shared" ca="1" si="187"/>
        <v>5261.0045756083273</v>
      </c>
      <c r="N283" s="164">
        <f t="shared" ca="1" si="187"/>
        <v>5032.470444449079</v>
      </c>
      <c r="O283" s="164">
        <f t="shared" ca="1" si="187"/>
        <v>4813.3603701189504</v>
      </c>
      <c r="P283" s="164">
        <f t="shared" ca="1" si="187"/>
        <v>4603.3336098733043</v>
      </c>
      <c r="Q283" s="164">
        <f t="shared" ca="1" si="187"/>
        <v>4402.0569435036414</v>
      </c>
      <c r="R283" s="164">
        <f t="shared" ca="1" si="187"/>
        <v>4209.2050555650749</v>
      </c>
      <c r="S283" s="164">
        <f t="shared" ca="1" si="187"/>
        <v>4024.4608343970408</v>
      </c>
      <c r="T283" s="164">
        <f t="shared" ca="1" si="187"/>
        <v>3847.5155977041313</v>
      </c>
      <c r="U283" s="164">
        <f t="shared" ca="1" si="187"/>
        <v>3678.069253475971</v>
      </c>
      <c r="V283" s="164">
        <f t="shared" ca="1" si="187"/>
        <v>3515.830404131385</v>
      </c>
      <c r="W283" s="164">
        <f t="shared" ca="1" si="187"/>
        <v>3360.5164009640521</v>
      </c>
      <c r="X283" s="164">
        <f t="shared" ca="1" si="187"/>
        <v>3211.8533552363492</v>
      </c>
      <c r="Y283" s="164">
        <f t="shared" ca="1" si="187"/>
        <v>3069.5761116080284</v>
      </c>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97"/>
      <c r="BA283" s="197"/>
      <c r="BB283" s="197"/>
      <c r="BC283" s="197"/>
      <c r="BD283" s="197"/>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118"/>
      <c r="CE283" s="118"/>
    </row>
    <row r="284" spans="1:83" s="38" customFormat="1" ht="14" hidden="1" x14ac:dyDescent="0.3">
      <c r="A284" s="37"/>
      <c r="B284" s="37"/>
      <c r="C284" s="41" t="s">
        <v>284</v>
      </c>
      <c r="D284" s="145" t="str">
        <f t="shared" si="176"/>
        <v>Très ambitieux</v>
      </c>
      <c r="E284" s="164">
        <f t="shared" si="177"/>
        <v>-80300</v>
      </c>
      <c r="F284" s="164">
        <f t="shared" ca="1" si="177"/>
        <v>7989.545454545454</v>
      </c>
      <c r="G284" s="164">
        <f t="shared" ref="G284:Y284" ca="1" si="188">G255*G$95</f>
        <v>7626.3842975206617</v>
      </c>
      <c r="H284" s="164">
        <f t="shared" ca="1" si="188"/>
        <v>7279.7304658151752</v>
      </c>
      <c r="I284" s="164">
        <f t="shared" ca="1" si="188"/>
        <v>6948.8336264599402</v>
      </c>
      <c r="J284" s="164">
        <f t="shared" ca="1" si="188"/>
        <v>6632.9775525299428</v>
      </c>
      <c r="K284" s="164">
        <f t="shared" ca="1" si="188"/>
        <v>6331.4785728694915</v>
      </c>
      <c r="L284" s="164">
        <f t="shared" ca="1" si="188"/>
        <v>6043.6840922845131</v>
      </c>
      <c r="M284" s="164">
        <f t="shared" ca="1" si="188"/>
        <v>5768.9711789988542</v>
      </c>
      <c r="N284" s="164">
        <f t="shared" ca="1" si="188"/>
        <v>5506.7452163170874</v>
      </c>
      <c r="O284" s="164">
        <f t="shared" ca="1" si="188"/>
        <v>5256.4386155754019</v>
      </c>
      <c r="P284" s="164">
        <f t="shared" ca="1" si="188"/>
        <v>5017.5095875947009</v>
      </c>
      <c r="Q284" s="164">
        <f t="shared" ca="1" si="188"/>
        <v>4789.4409699767602</v>
      </c>
      <c r="R284" s="164">
        <f t="shared" ca="1" si="188"/>
        <v>4571.7391077050897</v>
      </c>
      <c r="S284" s="164">
        <f t="shared" ca="1" si="188"/>
        <v>4363.9327846275846</v>
      </c>
      <c r="T284" s="164">
        <f t="shared" ca="1" si="188"/>
        <v>4165.572203508149</v>
      </c>
      <c r="U284" s="164">
        <f t="shared" ca="1" si="188"/>
        <v>3976.228012439597</v>
      </c>
      <c r="V284" s="164">
        <f t="shared" ca="1" si="188"/>
        <v>3795.4903755105252</v>
      </c>
      <c r="W284" s="164">
        <f t="shared" ca="1" si="188"/>
        <v>3622.9680857145918</v>
      </c>
      <c r="X284" s="164">
        <f t="shared" ca="1" si="188"/>
        <v>3458.2877181821095</v>
      </c>
      <c r="Y284" s="164">
        <f t="shared" ca="1" si="188"/>
        <v>3301.0928219011053</v>
      </c>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97"/>
      <c r="BA284" s="197"/>
      <c r="BB284" s="197"/>
      <c r="BC284" s="197"/>
      <c r="BD284" s="197"/>
      <c r="BE284" s="60"/>
      <c r="BF284" s="60"/>
      <c r="BG284" s="60"/>
      <c r="BH284" s="60"/>
      <c r="BI284" s="60"/>
      <c r="BJ284" s="60"/>
      <c r="BK284" s="60"/>
      <c r="BL284" s="60"/>
      <c r="BM284" s="60"/>
      <c r="BN284" s="60"/>
      <c r="BO284" s="60"/>
      <c r="BP284" s="60"/>
      <c r="BQ284" s="60"/>
      <c r="BR284" s="60"/>
      <c r="BS284" s="60"/>
      <c r="BT284" s="60"/>
      <c r="BU284" s="60"/>
      <c r="BV284" s="60"/>
      <c r="BW284" s="60"/>
      <c r="BX284" s="60"/>
      <c r="BY284" s="60"/>
      <c r="BZ284" s="60"/>
      <c r="CA284" s="60"/>
      <c r="CB284" s="60"/>
      <c r="CC284" s="60"/>
      <c r="CD284" s="118"/>
      <c r="CE284" s="118"/>
    </row>
    <row r="285" spans="1:83" s="38" customFormat="1" ht="14" hidden="1" x14ac:dyDescent="0.3">
      <c r="A285" s="37"/>
      <c r="B285" s="37"/>
      <c r="C285" s="41" t="s">
        <v>285</v>
      </c>
      <c r="D285" s="145" t="str">
        <f t="shared" si="176"/>
        <v>Très ambitieux</v>
      </c>
      <c r="E285" s="164">
        <f t="shared" si="177"/>
        <v>-82000</v>
      </c>
      <c r="F285" s="164">
        <f t="shared" ca="1" si="177"/>
        <v>15979.090909090908</v>
      </c>
      <c r="G285" s="164">
        <f t="shared" ref="G285:Y285" ca="1" si="189">G256*G$95</f>
        <v>15252.768595041323</v>
      </c>
      <c r="H285" s="164">
        <f t="shared" ca="1" si="189"/>
        <v>14559.46093163035</v>
      </c>
      <c r="I285" s="164">
        <f t="shared" ca="1" si="189"/>
        <v>13897.66725291988</v>
      </c>
      <c r="J285" s="164">
        <f t="shared" ca="1" si="189"/>
        <v>13265.955105059886</v>
      </c>
      <c r="K285" s="164">
        <f t="shared" ca="1" si="189"/>
        <v>12662.957145738983</v>
      </c>
      <c r="L285" s="164">
        <f t="shared" ca="1" si="189"/>
        <v>12087.368184569026</v>
      </c>
      <c r="M285" s="164">
        <f t="shared" ca="1" si="189"/>
        <v>11537.942357997708</v>
      </c>
      <c r="N285" s="164">
        <f t="shared" ca="1" si="189"/>
        <v>11013.490432634175</v>
      </c>
      <c r="O285" s="164">
        <f t="shared" ca="1" si="189"/>
        <v>10512.877231150804</v>
      </c>
      <c r="P285" s="164">
        <f t="shared" ca="1" si="189"/>
        <v>10035.019175189402</v>
      </c>
      <c r="Q285" s="164">
        <f t="shared" ca="1" si="189"/>
        <v>9578.8819399535205</v>
      </c>
      <c r="R285" s="164">
        <f t="shared" ca="1" si="189"/>
        <v>9143.4782154101795</v>
      </c>
      <c r="S285" s="164">
        <f t="shared" ca="1" si="189"/>
        <v>8727.8655692551692</v>
      </c>
      <c r="T285" s="164">
        <f t="shared" ca="1" si="189"/>
        <v>8331.1444070162979</v>
      </c>
      <c r="U285" s="164">
        <f t="shared" ca="1" si="189"/>
        <v>7952.456024879194</v>
      </c>
      <c r="V285" s="164">
        <f t="shared" ca="1" si="189"/>
        <v>7590.9807510210503</v>
      </c>
      <c r="W285" s="164">
        <f t="shared" ca="1" si="189"/>
        <v>7245.9361714291836</v>
      </c>
      <c r="X285" s="164">
        <f t="shared" ca="1" si="189"/>
        <v>6916.5754363642191</v>
      </c>
      <c r="Y285" s="164">
        <f t="shared" ca="1" si="189"/>
        <v>6602.1856438022105</v>
      </c>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97"/>
      <c r="BA285" s="197"/>
      <c r="BB285" s="197"/>
      <c r="BC285" s="197"/>
      <c r="BD285" s="197"/>
      <c r="BE285" s="60"/>
      <c r="BF285" s="60"/>
      <c r="BG285" s="60"/>
      <c r="BH285" s="60"/>
      <c r="BI285" s="60"/>
      <c r="BJ285" s="60"/>
      <c r="BK285" s="60"/>
      <c r="BL285" s="60"/>
      <c r="BM285" s="60"/>
      <c r="BN285" s="60"/>
      <c r="BO285" s="60"/>
      <c r="BP285" s="60"/>
      <c r="BQ285" s="60"/>
      <c r="BR285" s="60"/>
      <c r="BS285" s="60"/>
      <c r="BT285" s="60"/>
      <c r="BU285" s="60"/>
      <c r="BV285" s="60"/>
      <c r="BW285" s="60"/>
      <c r="BX285" s="60"/>
      <c r="BY285" s="60"/>
      <c r="BZ285" s="60"/>
      <c r="CA285" s="60"/>
      <c r="CB285" s="60"/>
      <c r="CC285" s="60"/>
      <c r="CD285" s="118"/>
      <c r="CE285" s="118"/>
    </row>
    <row r="286" spans="1:83" s="38" customFormat="1" ht="14" hidden="1" x14ac:dyDescent="0.3">
      <c r="A286" s="37"/>
      <c r="B286" s="37"/>
      <c r="C286" s="41" t="s">
        <v>286</v>
      </c>
      <c r="D286" s="145" t="str">
        <f t="shared" si="176"/>
        <v>Non priorisé</v>
      </c>
      <c r="E286" s="164">
        <f t="shared" si="177"/>
        <v>0</v>
      </c>
      <c r="F286" s="164">
        <f t="shared" ca="1" si="177"/>
        <v>2044.4444444444441</v>
      </c>
      <c r="G286" s="164">
        <f t="shared" ref="G286:Y286" ca="1" si="190">G257*G$95</f>
        <v>1951.515151515151</v>
      </c>
      <c r="H286" s="164">
        <f t="shared" ca="1" si="190"/>
        <v>1862.809917355371</v>
      </c>
      <c r="I286" s="164">
        <f t="shared" ca="1" si="190"/>
        <v>1778.1367392937636</v>
      </c>
      <c r="J286" s="164">
        <f t="shared" ca="1" si="190"/>
        <v>1697.3123420531379</v>
      </c>
      <c r="K286" s="164">
        <f t="shared" ca="1" si="190"/>
        <v>1620.1617810507225</v>
      </c>
      <c r="L286" s="164">
        <f t="shared" ca="1" si="190"/>
        <v>1546.5180637302351</v>
      </c>
      <c r="M286" s="164">
        <f t="shared" ca="1" si="190"/>
        <v>1476.2217881061335</v>
      </c>
      <c r="N286" s="164">
        <f t="shared" ca="1" si="190"/>
        <v>1409.120797737673</v>
      </c>
      <c r="O286" s="164">
        <f t="shared" ca="1" si="190"/>
        <v>1345.0698523859605</v>
      </c>
      <c r="P286" s="164">
        <f t="shared" ca="1" si="190"/>
        <v>1283.9303136411438</v>
      </c>
      <c r="Q286" s="164">
        <f t="shared" ca="1" si="190"/>
        <v>1225.5698448392736</v>
      </c>
      <c r="R286" s="164">
        <f t="shared" ca="1" si="190"/>
        <v>1169.862124619307</v>
      </c>
      <c r="S286" s="164">
        <f t="shared" ca="1" si="190"/>
        <v>1116.6865735002473</v>
      </c>
      <c r="T286" s="164">
        <f t="shared" ca="1" si="190"/>
        <v>1065.9280928865996</v>
      </c>
      <c r="U286" s="164">
        <f t="shared" ca="1" si="190"/>
        <v>1017.4768159372089</v>
      </c>
      <c r="V286" s="164">
        <f t="shared" ca="1" si="190"/>
        <v>971.22786975824499</v>
      </c>
      <c r="W286" s="164">
        <f t="shared" ca="1" si="190"/>
        <v>927.08114840559745</v>
      </c>
      <c r="X286" s="164">
        <f t="shared" ca="1" si="190"/>
        <v>884.94109620534266</v>
      </c>
      <c r="Y286" s="164">
        <f t="shared" ca="1" si="190"/>
        <v>844.71650092328184</v>
      </c>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97"/>
      <c r="BA286" s="197"/>
      <c r="BB286" s="197"/>
      <c r="BC286" s="197"/>
      <c r="BD286" s="197"/>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118"/>
      <c r="CE286" s="118"/>
    </row>
    <row r="287" spans="1:83" s="38" customFormat="1" ht="14" hidden="1" x14ac:dyDescent="0.3">
      <c r="A287" s="37"/>
      <c r="B287" s="37"/>
      <c r="C287" s="41" t="s">
        <v>287</v>
      </c>
      <c r="D287" s="145">
        <f t="shared" si="176"/>
        <v>0</v>
      </c>
      <c r="E287" s="164">
        <f t="shared" si="177"/>
        <v>0</v>
      </c>
      <c r="F287" s="164">
        <f t="shared" ca="1" si="177"/>
        <v>0</v>
      </c>
      <c r="G287" s="164">
        <f t="shared" ref="G287:Y287" ca="1" si="191">G258*G$95</f>
        <v>0</v>
      </c>
      <c r="H287" s="164">
        <f t="shared" ca="1" si="191"/>
        <v>0</v>
      </c>
      <c r="I287" s="164">
        <f t="shared" ca="1" si="191"/>
        <v>0</v>
      </c>
      <c r="J287" s="164">
        <f t="shared" ca="1" si="191"/>
        <v>0</v>
      </c>
      <c r="K287" s="164">
        <f t="shared" ca="1" si="191"/>
        <v>0</v>
      </c>
      <c r="L287" s="164">
        <f t="shared" ca="1" si="191"/>
        <v>0</v>
      </c>
      <c r="M287" s="164">
        <f t="shared" ca="1" si="191"/>
        <v>0</v>
      </c>
      <c r="N287" s="164">
        <f t="shared" ca="1" si="191"/>
        <v>0</v>
      </c>
      <c r="O287" s="164">
        <f t="shared" ca="1" si="191"/>
        <v>0</v>
      </c>
      <c r="P287" s="164">
        <f t="shared" ca="1" si="191"/>
        <v>0</v>
      </c>
      <c r="Q287" s="164">
        <f t="shared" ca="1" si="191"/>
        <v>0</v>
      </c>
      <c r="R287" s="164">
        <f t="shared" ca="1" si="191"/>
        <v>0</v>
      </c>
      <c r="S287" s="164">
        <f t="shared" ca="1" si="191"/>
        <v>0</v>
      </c>
      <c r="T287" s="164">
        <f t="shared" ca="1" si="191"/>
        <v>0</v>
      </c>
      <c r="U287" s="164">
        <f t="shared" ca="1" si="191"/>
        <v>0</v>
      </c>
      <c r="V287" s="164">
        <f t="shared" ca="1" si="191"/>
        <v>0</v>
      </c>
      <c r="W287" s="164">
        <f t="shared" ca="1" si="191"/>
        <v>0</v>
      </c>
      <c r="X287" s="164">
        <f t="shared" ca="1" si="191"/>
        <v>0</v>
      </c>
      <c r="Y287" s="164">
        <f t="shared" ca="1" si="191"/>
        <v>0</v>
      </c>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97"/>
      <c r="BA287" s="197"/>
      <c r="BB287" s="197"/>
      <c r="BC287" s="197"/>
      <c r="BD287" s="197"/>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118"/>
      <c r="CE287" s="118"/>
    </row>
    <row r="288" spans="1:83" s="38" customFormat="1" ht="14" hidden="1" x14ac:dyDescent="0.3">
      <c r="A288" s="37"/>
      <c r="B288" s="37"/>
      <c r="C288" s="41" t="s">
        <v>288</v>
      </c>
      <c r="D288" s="145">
        <f t="shared" si="176"/>
        <v>0</v>
      </c>
      <c r="E288" s="164">
        <f t="shared" si="177"/>
        <v>0</v>
      </c>
      <c r="F288" s="164">
        <f t="shared" ca="1" si="177"/>
        <v>0</v>
      </c>
      <c r="G288" s="164">
        <f t="shared" ref="G288:Y288" ca="1" si="192">G259*G$95</f>
        <v>0</v>
      </c>
      <c r="H288" s="164">
        <f t="shared" ca="1" si="192"/>
        <v>0</v>
      </c>
      <c r="I288" s="164">
        <f t="shared" ca="1" si="192"/>
        <v>0</v>
      </c>
      <c r="J288" s="164">
        <f t="shared" ca="1" si="192"/>
        <v>0</v>
      </c>
      <c r="K288" s="164">
        <f t="shared" ca="1" si="192"/>
        <v>0</v>
      </c>
      <c r="L288" s="164">
        <f t="shared" ca="1" si="192"/>
        <v>0</v>
      </c>
      <c r="M288" s="164">
        <f t="shared" ca="1" si="192"/>
        <v>0</v>
      </c>
      <c r="N288" s="164">
        <f t="shared" ca="1" si="192"/>
        <v>0</v>
      </c>
      <c r="O288" s="164">
        <f t="shared" ca="1" si="192"/>
        <v>0</v>
      </c>
      <c r="P288" s="164">
        <f t="shared" ca="1" si="192"/>
        <v>0</v>
      </c>
      <c r="Q288" s="164">
        <f t="shared" ca="1" si="192"/>
        <v>0</v>
      </c>
      <c r="R288" s="164">
        <f t="shared" ca="1" si="192"/>
        <v>0</v>
      </c>
      <c r="S288" s="164">
        <f t="shared" ca="1" si="192"/>
        <v>0</v>
      </c>
      <c r="T288" s="164">
        <f t="shared" ca="1" si="192"/>
        <v>0</v>
      </c>
      <c r="U288" s="164">
        <f t="shared" ca="1" si="192"/>
        <v>0</v>
      </c>
      <c r="V288" s="164">
        <f t="shared" ca="1" si="192"/>
        <v>0</v>
      </c>
      <c r="W288" s="164">
        <f t="shared" ca="1" si="192"/>
        <v>0</v>
      </c>
      <c r="X288" s="164">
        <f t="shared" ca="1" si="192"/>
        <v>0</v>
      </c>
      <c r="Y288" s="164">
        <f t="shared" ca="1" si="192"/>
        <v>0</v>
      </c>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97"/>
      <c r="BA288" s="197"/>
      <c r="BB288" s="197"/>
      <c r="BC288" s="197"/>
      <c r="BD288" s="197"/>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118"/>
      <c r="CE288" s="118"/>
    </row>
    <row r="289" spans="1:83" s="38" customFormat="1" ht="14" hidden="1" x14ac:dyDescent="0.3">
      <c r="A289" s="37"/>
      <c r="B289" s="37"/>
      <c r="C289" s="41" t="s">
        <v>289</v>
      </c>
      <c r="D289" s="145">
        <f t="shared" si="176"/>
        <v>0</v>
      </c>
      <c r="E289" s="164">
        <f t="shared" si="177"/>
        <v>0</v>
      </c>
      <c r="F289" s="164">
        <f t="shared" ca="1" si="177"/>
        <v>0</v>
      </c>
      <c r="G289" s="164">
        <f t="shared" ref="G289:Y289" ca="1" si="193">G260*G$95</f>
        <v>0</v>
      </c>
      <c r="H289" s="164">
        <f t="shared" ca="1" si="193"/>
        <v>0</v>
      </c>
      <c r="I289" s="164">
        <f t="shared" ca="1" si="193"/>
        <v>0</v>
      </c>
      <c r="J289" s="164">
        <f t="shared" ca="1" si="193"/>
        <v>0</v>
      </c>
      <c r="K289" s="164">
        <f t="shared" ca="1" si="193"/>
        <v>0</v>
      </c>
      <c r="L289" s="164">
        <f t="shared" ca="1" si="193"/>
        <v>0</v>
      </c>
      <c r="M289" s="164">
        <f t="shared" ca="1" si="193"/>
        <v>0</v>
      </c>
      <c r="N289" s="164">
        <f t="shared" ca="1" si="193"/>
        <v>0</v>
      </c>
      <c r="O289" s="164">
        <f t="shared" ca="1" si="193"/>
        <v>0</v>
      </c>
      <c r="P289" s="164">
        <f t="shared" ca="1" si="193"/>
        <v>0</v>
      </c>
      <c r="Q289" s="164">
        <f t="shared" ca="1" si="193"/>
        <v>0</v>
      </c>
      <c r="R289" s="164">
        <f t="shared" ca="1" si="193"/>
        <v>0</v>
      </c>
      <c r="S289" s="164">
        <f t="shared" ca="1" si="193"/>
        <v>0</v>
      </c>
      <c r="T289" s="164">
        <f t="shared" ca="1" si="193"/>
        <v>0</v>
      </c>
      <c r="U289" s="164">
        <f t="shared" ca="1" si="193"/>
        <v>0</v>
      </c>
      <c r="V289" s="164">
        <f t="shared" ca="1" si="193"/>
        <v>0</v>
      </c>
      <c r="W289" s="164">
        <f t="shared" ca="1" si="193"/>
        <v>0</v>
      </c>
      <c r="X289" s="164">
        <f t="shared" ca="1" si="193"/>
        <v>0</v>
      </c>
      <c r="Y289" s="164">
        <f t="shared" ca="1" si="193"/>
        <v>0</v>
      </c>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97"/>
      <c r="AZ289" s="197"/>
      <c r="BA289" s="197"/>
      <c r="BB289" s="197"/>
      <c r="BC289" s="197"/>
      <c r="BD289" s="60"/>
      <c r="BE289" s="60"/>
      <c r="BF289" s="235"/>
      <c r="BG289" s="318"/>
      <c r="BH289" s="318"/>
      <c r="BI289" s="318"/>
      <c r="BJ289" s="318"/>
      <c r="BK289" s="318"/>
      <c r="BL289" s="318"/>
      <c r="BM289" s="318"/>
      <c r="BN289" s="318"/>
      <c r="BO289" s="318"/>
      <c r="BP289" s="318"/>
      <c r="BQ289" s="318"/>
      <c r="BR289" s="318"/>
      <c r="BS289" s="318"/>
      <c r="BT289" s="318"/>
      <c r="BU289" s="318"/>
      <c r="BV289" s="318"/>
      <c r="BW289" s="318"/>
      <c r="BX289" s="318"/>
      <c r="BY289" s="318"/>
      <c r="BZ289" s="318"/>
      <c r="CA289" s="318"/>
      <c r="CB289" s="318"/>
      <c r="CC289" s="318"/>
      <c r="CD289" s="118"/>
    </row>
    <row r="290" spans="1:83" s="38" customFormat="1" ht="14" hidden="1" x14ac:dyDescent="0.3">
      <c r="A290" s="37"/>
      <c r="B290" s="37"/>
      <c r="C290" s="41" t="s">
        <v>290</v>
      </c>
      <c r="D290" s="145">
        <f t="shared" si="176"/>
        <v>0</v>
      </c>
      <c r="E290" s="164">
        <f t="shared" si="177"/>
        <v>0</v>
      </c>
      <c r="F290" s="164">
        <f t="shared" ca="1" si="177"/>
        <v>0</v>
      </c>
      <c r="G290" s="164">
        <f t="shared" ref="G290:Y290" ca="1" si="194">G261*G$95</f>
        <v>0</v>
      </c>
      <c r="H290" s="164">
        <f t="shared" ca="1" si="194"/>
        <v>0</v>
      </c>
      <c r="I290" s="164">
        <f t="shared" ca="1" si="194"/>
        <v>0</v>
      </c>
      <c r="J290" s="164">
        <f t="shared" ca="1" si="194"/>
        <v>0</v>
      </c>
      <c r="K290" s="164">
        <f t="shared" ca="1" si="194"/>
        <v>0</v>
      </c>
      <c r="L290" s="164">
        <f t="shared" ca="1" si="194"/>
        <v>0</v>
      </c>
      <c r="M290" s="164">
        <f t="shared" ca="1" si="194"/>
        <v>0</v>
      </c>
      <c r="N290" s="164">
        <f t="shared" ca="1" si="194"/>
        <v>0</v>
      </c>
      <c r="O290" s="164">
        <f t="shared" ca="1" si="194"/>
        <v>0</v>
      </c>
      <c r="P290" s="164">
        <f t="shared" ca="1" si="194"/>
        <v>0</v>
      </c>
      <c r="Q290" s="164">
        <f t="shared" ca="1" si="194"/>
        <v>0</v>
      </c>
      <c r="R290" s="164">
        <f t="shared" ca="1" si="194"/>
        <v>0</v>
      </c>
      <c r="S290" s="164">
        <f t="shared" ca="1" si="194"/>
        <v>0</v>
      </c>
      <c r="T290" s="164">
        <f t="shared" ca="1" si="194"/>
        <v>0</v>
      </c>
      <c r="U290" s="164">
        <f t="shared" ca="1" si="194"/>
        <v>0</v>
      </c>
      <c r="V290" s="164">
        <f t="shared" ca="1" si="194"/>
        <v>0</v>
      </c>
      <c r="W290" s="164">
        <f t="shared" ca="1" si="194"/>
        <v>0</v>
      </c>
      <c r="X290" s="164">
        <f t="shared" ca="1" si="194"/>
        <v>0</v>
      </c>
      <c r="Y290" s="164">
        <f t="shared" ca="1" si="194"/>
        <v>0</v>
      </c>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97"/>
      <c r="BA290" s="197"/>
      <c r="BB290" s="197"/>
      <c r="BC290" s="197"/>
      <c r="BD290" s="197"/>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118"/>
      <c r="CE290" s="118"/>
    </row>
    <row r="291" spans="1:83" s="38" customFormat="1" ht="14" hidden="1" x14ac:dyDescent="0.3">
      <c r="A291" s="37"/>
      <c r="B291" s="37"/>
      <c r="C291" s="41" t="s">
        <v>291</v>
      </c>
      <c r="D291" s="145">
        <f t="shared" si="176"/>
        <v>0</v>
      </c>
      <c r="E291" s="164">
        <f t="shared" si="177"/>
        <v>0</v>
      </c>
      <c r="F291" s="164">
        <f t="shared" ca="1" si="177"/>
        <v>0</v>
      </c>
      <c r="G291" s="164">
        <f t="shared" ref="G291:Y291" ca="1" si="195">G262*G$95</f>
        <v>0</v>
      </c>
      <c r="H291" s="164">
        <f t="shared" ca="1" si="195"/>
        <v>0</v>
      </c>
      <c r="I291" s="164">
        <f t="shared" ca="1" si="195"/>
        <v>0</v>
      </c>
      <c r="J291" s="164">
        <f t="shared" ca="1" si="195"/>
        <v>0</v>
      </c>
      <c r="K291" s="164">
        <f t="shared" ca="1" si="195"/>
        <v>0</v>
      </c>
      <c r="L291" s="164">
        <f t="shared" ca="1" si="195"/>
        <v>0</v>
      </c>
      <c r="M291" s="164">
        <f t="shared" ca="1" si="195"/>
        <v>0</v>
      </c>
      <c r="N291" s="164">
        <f t="shared" ca="1" si="195"/>
        <v>0</v>
      </c>
      <c r="O291" s="164">
        <f t="shared" ca="1" si="195"/>
        <v>0</v>
      </c>
      <c r="P291" s="164">
        <f t="shared" ca="1" si="195"/>
        <v>0</v>
      </c>
      <c r="Q291" s="164">
        <f t="shared" ca="1" si="195"/>
        <v>0</v>
      </c>
      <c r="R291" s="164">
        <f t="shared" ca="1" si="195"/>
        <v>0</v>
      </c>
      <c r="S291" s="164">
        <f t="shared" ca="1" si="195"/>
        <v>0</v>
      </c>
      <c r="T291" s="164">
        <f t="shared" ca="1" si="195"/>
        <v>0</v>
      </c>
      <c r="U291" s="164">
        <f t="shared" ca="1" si="195"/>
        <v>0</v>
      </c>
      <c r="V291" s="164">
        <f t="shared" ca="1" si="195"/>
        <v>0</v>
      </c>
      <c r="W291" s="164">
        <f t="shared" ca="1" si="195"/>
        <v>0</v>
      </c>
      <c r="X291" s="164">
        <f t="shared" ca="1" si="195"/>
        <v>0</v>
      </c>
      <c r="Y291" s="164">
        <f t="shared" ca="1" si="195"/>
        <v>0</v>
      </c>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97"/>
      <c r="BA291" s="197"/>
      <c r="BB291" s="197"/>
      <c r="BC291" s="197"/>
      <c r="BD291" s="197"/>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118"/>
      <c r="CE291" s="118"/>
    </row>
    <row r="292" spans="1:83" s="38" customFormat="1" ht="14" hidden="1" x14ac:dyDescent="0.3">
      <c r="A292" s="37"/>
      <c r="B292" s="37"/>
      <c r="C292" s="41" t="s">
        <v>292</v>
      </c>
      <c r="D292" s="145">
        <f t="shared" si="176"/>
        <v>0</v>
      </c>
      <c r="E292" s="164">
        <f t="shared" si="177"/>
        <v>0</v>
      </c>
      <c r="F292" s="164">
        <f t="shared" ca="1" si="177"/>
        <v>0</v>
      </c>
      <c r="G292" s="164">
        <f t="shared" ref="G292:Y292" ca="1" si="196">G263*G$95</f>
        <v>0</v>
      </c>
      <c r="H292" s="164">
        <f t="shared" ca="1" si="196"/>
        <v>0</v>
      </c>
      <c r="I292" s="164">
        <f t="shared" ca="1" si="196"/>
        <v>0</v>
      </c>
      <c r="J292" s="164">
        <f t="shared" ca="1" si="196"/>
        <v>0</v>
      </c>
      <c r="K292" s="164">
        <f t="shared" ca="1" si="196"/>
        <v>0</v>
      </c>
      <c r="L292" s="164">
        <f t="shared" ca="1" si="196"/>
        <v>0</v>
      </c>
      <c r="M292" s="164">
        <f t="shared" ca="1" si="196"/>
        <v>0</v>
      </c>
      <c r="N292" s="164">
        <f t="shared" ca="1" si="196"/>
        <v>0</v>
      </c>
      <c r="O292" s="164">
        <f t="shared" ca="1" si="196"/>
        <v>0</v>
      </c>
      <c r="P292" s="164">
        <f t="shared" ca="1" si="196"/>
        <v>0</v>
      </c>
      <c r="Q292" s="164">
        <f t="shared" ca="1" si="196"/>
        <v>0</v>
      </c>
      <c r="R292" s="164">
        <f t="shared" ca="1" si="196"/>
        <v>0</v>
      </c>
      <c r="S292" s="164">
        <f t="shared" ca="1" si="196"/>
        <v>0</v>
      </c>
      <c r="T292" s="164">
        <f t="shared" ca="1" si="196"/>
        <v>0</v>
      </c>
      <c r="U292" s="164">
        <f t="shared" ca="1" si="196"/>
        <v>0</v>
      </c>
      <c r="V292" s="164">
        <f t="shared" ca="1" si="196"/>
        <v>0</v>
      </c>
      <c r="W292" s="164">
        <f t="shared" ca="1" si="196"/>
        <v>0</v>
      </c>
      <c r="X292" s="164">
        <f t="shared" ca="1" si="196"/>
        <v>0</v>
      </c>
      <c r="Y292" s="164">
        <f t="shared" ca="1" si="196"/>
        <v>0</v>
      </c>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97"/>
      <c r="AZ292" s="197"/>
      <c r="BA292" s="197"/>
      <c r="BB292" s="197"/>
      <c r="BC292" s="197"/>
      <c r="BD292" s="60"/>
      <c r="BE292" s="60"/>
      <c r="BF292" s="235"/>
      <c r="BG292" s="318"/>
      <c r="BH292" s="318"/>
      <c r="BI292" s="318"/>
      <c r="BJ292" s="318"/>
      <c r="BK292" s="318"/>
      <c r="BL292" s="318"/>
      <c r="BM292" s="318"/>
      <c r="BN292" s="318"/>
      <c r="BO292" s="318"/>
      <c r="BP292" s="318"/>
      <c r="BQ292" s="318"/>
      <c r="BR292" s="318"/>
      <c r="BS292" s="318"/>
      <c r="BT292" s="318"/>
      <c r="BU292" s="318"/>
      <c r="BV292" s="318"/>
      <c r="BW292" s="318"/>
      <c r="BX292" s="318"/>
      <c r="BY292" s="318"/>
      <c r="BZ292" s="318"/>
      <c r="CA292" s="318"/>
      <c r="CB292" s="318"/>
      <c r="CC292" s="318"/>
      <c r="CD292" s="118"/>
    </row>
    <row r="293" spans="1:83" s="38" customFormat="1" ht="14" hidden="1" x14ac:dyDescent="0.3">
      <c r="A293" s="37"/>
      <c r="B293" s="37"/>
      <c r="C293" s="41" t="s">
        <v>293</v>
      </c>
      <c r="D293" s="145">
        <f t="shared" si="176"/>
        <v>0</v>
      </c>
      <c r="E293" s="164">
        <f t="shared" si="177"/>
        <v>0</v>
      </c>
      <c r="F293" s="164">
        <f t="shared" ca="1" si="177"/>
        <v>0</v>
      </c>
      <c r="G293" s="164">
        <f t="shared" ref="G293:Y293" ca="1" si="197">G264*G$95</f>
        <v>0</v>
      </c>
      <c r="H293" s="164">
        <f t="shared" ca="1" si="197"/>
        <v>0</v>
      </c>
      <c r="I293" s="164">
        <f t="shared" ca="1" si="197"/>
        <v>0</v>
      </c>
      <c r="J293" s="164">
        <f t="shared" ca="1" si="197"/>
        <v>0</v>
      </c>
      <c r="K293" s="164">
        <f t="shared" ca="1" si="197"/>
        <v>0</v>
      </c>
      <c r="L293" s="164">
        <f t="shared" ca="1" si="197"/>
        <v>0</v>
      </c>
      <c r="M293" s="164">
        <f t="shared" ca="1" si="197"/>
        <v>0</v>
      </c>
      <c r="N293" s="164">
        <f t="shared" ca="1" si="197"/>
        <v>0</v>
      </c>
      <c r="O293" s="164">
        <f t="shared" ca="1" si="197"/>
        <v>0</v>
      </c>
      <c r="P293" s="164">
        <f t="shared" ca="1" si="197"/>
        <v>0</v>
      </c>
      <c r="Q293" s="164">
        <f t="shared" ca="1" si="197"/>
        <v>0</v>
      </c>
      <c r="R293" s="164">
        <f t="shared" ca="1" si="197"/>
        <v>0</v>
      </c>
      <c r="S293" s="164">
        <f t="shared" ca="1" si="197"/>
        <v>0</v>
      </c>
      <c r="T293" s="164">
        <f t="shared" ca="1" si="197"/>
        <v>0</v>
      </c>
      <c r="U293" s="164">
        <f t="shared" ca="1" si="197"/>
        <v>0</v>
      </c>
      <c r="V293" s="164">
        <f t="shared" ca="1" si="197"/>
        <v>0</v>
      </c>
      <c r="W293" s="164">
        <f t="shared" ca="1" si="197"/>
        <v>0</v>
      </c>
      <c r="X293" s="164">
        <f t="shared" ca="1" si="197"/>
        <v>0</v>
      </c>
      <c r="Y293" s="164">
        <f t="shared" ca="1" si="197"/>
        <v>0</v>
      </c>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97"/>
      <c r="AZ293" s="197"/>
      <c r="BA293" s="197"/>
      <c r="BB293" s="197"/>
      <c r="BC293" s="197"/>
      <c r="BD293" s="60"/>
      <c r="BE293" s="60"/>
      <c r="BF293" s="235"/>
      <c r="BG293" s="318"/>
      <c r="BH293" s="318"/>
      <c r="BI293" s="318"/>
      <c r="BJ293" s="318"/>
      <c r="BK293" s="318"/>
      <c r="BL293" s="318"/>
      <c r="BM293" s="318"/>
      <c r="BN293" s="318"/>
      <c r="BO293" s="318"/>
      <c r="BP293" s="318"/>
      <c r="BQ293" s="318"/>
      <c r="BR293" s="318"/>
      <c r="BS293" s="318"/>
      <c r="BT293" s="318"/>
      <c r="BU293" s="318"/>
      <c r="BV293" s="318"/>
      <c r="BW293" s="318"/>
      <c r="BX293" s="318"/>
      <c r="BY293" s="318"/>
      <c r="BZ293" s="318"/>
      <c r="CA293" s="318"/>
      <c r="CB293" s="318"/>
      <c r="CC293" s="318"/>
      <c r="CD293" s="118"/>
    </row>
    <row r="294" spans="1:83" s="38" customFormat="1" ht="14" hidden="1" x14ac:dyDescent="0.3">
      <c r="A294" s="37"/>
      <c r="B294" s="37"/>
      <c r="C294" s="143" t="s">
        <v>108</v>
      </c>
      <c r="D294" s="143" t="s">
        <v>108</v>
      </c>
      <c r="E294" s="166">
        <f>SUM(E274:E293)</f>
        <v>-534325</v>
      </c>
      <c r="F294" s="166">
        <f ca="1">SUM(F274:F293)</f>
        <v>178008.4141414141</v>
      </c>
      <c r="G294" s="166">
        <f t="shared" ref="G294:Y294" ca="1" si="198">SUM(G274:G293)</f>
        <v>170082.41184573001</v>
      </c>
      <c r="H294" s="166">
        <f t="shared" ca="1" si="198"/>
        <v>162501.65608564983</v>
      </c>
      <c r="I294" s="166">
        <f t="shared" ca="1" si="198"/>
        <v>155251.81986373875</v>
      </c>
      <c r="J294" s="166">
        <f t="shared" ca="1" si="198"/>
        <v>148319.10322545341</v>
      </c>
      <c r="K294" s="166">
        <f t="shared" ca="1" si="198"/>
        <v>141690.22059212538</v>
      </c>
      <c r="L294" s="166">
        <f t="shared" ca="1" si="198"/>
        <v>135352.38764340215</v>
      </c>
      <c r="M294" s="166">
        <f t="shared" ca="1" si="198"/>
        <v>129293.30786292581</v>
      </c>
      <c r="N294" s="166">
        <f t="shared" ca="1" si="198"/>
        <v>123501.15884737641</v>
      </c>
      <c r="O294" s="166">
        <f t="shared" ca="1" si="198"/>
        <v>117964.57846674522</v>
      </c>
      <c r="P294" s="166">
        <f t="shared" ca="1" si="198"/>
        <v>112672.65095269852</v>
      </c>
      <c r="Q294" s="166">
        <f t="shared" ca="1" si="198"/>
        <v>107614.89298202703</v>
      </c>
      <c r="R294" s="166">
        <f t="shared" ca="1" si="198"/>
        <v>102781.2398133368</v>
      </c>
      <c r="S294" s="166">
        <f t="shared" ca="1" si="198"/>
        <v>98162.03152722813</v>
      </c>
      <c r="T294" s="166">
        <f t="shared" ca="1" si="198"/>
        <v>93747.999413137048</v>
      </c>
      <c r="U294" s="166">
        <f t="shared" ca="1" si="198"/>
        <v>89530.252539697933</v>
      </c>
      <c r="V294" s="166">
        <f t="shared" ca="1" si="198"/>
        <v>85500.264539855343</v>
      </c>
      <c r="W294" s="166">
        <f t="shared" ca="1" si="198"/>
        <v>81649.860636934682</v>
      </c>
      <c r="X294" s="166">
        <f t="shared" ca="1" si="198"/>
        <v>77971.20493342109</v>
      </c>
      <c r="Y294" s="166">
        <f t="shared" ca="1" si="198"/>
        <v>74456.787980234076</v>
      </c>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97"/>
      <c r="AZ294" s="197"/>
      <c r="BA294" s="197"/>
      <c r="BB294" s="197"/>
      <c r="BC294" s="197"/>
      <c r="BD294" s="60"/>
      <c r="BE294" s="60"/>
      <c r="BF294" s="235"/>
      <c r="BG294" s="318"/>
      <c r="BH294" s="318"/>
      <c r="BI294" s="318"/>
      <c r="BJ294" s="318"/>
      <c r="BK294" s="318"/>
      <c r="BL294" s="318"/>
      <c r="BM294" s="318"/>
      <c r="BN294" s="318"/>
      <c r="BO294" s="318"/>
      <c r="BP294" s="318"/>
      <c r="BQ294" s="318"/>
      <c r="BR294" s="318"/>
      <c r="BS294" s="318"/>
      <c r="BT294" s="318"/>
      <c r="BU294" s="318"/>
      <c r="BV294" s="318"/>
      <c r="BW294" s="318"/>
      <c r="BX294" s="318"/>
      <c r="BY294" s="318"/>
      <c r="BZ294" s="318"/>
      <c r="CA294" s="318"/>
      <c r="CB294" s="318"/>
      <c r="CC294" s="318"/>
      <c r="CD294" s="118"/>
    </row>
    <row r="295" spans="1:83" s="38" customFormat="1" ht="14" hidden="1" x14ac:dyDescent="0.3">
      <c r="A295" s="37"/>
      <c r="B295" s="37"/>
      <c r="C295" s="142" t="s">
        <v>281</v>
      </c>
      <c r="D295" s="142" t="s">
        <v>281</v>
      </c>
      <c r="E295" s="166">
        <f t="shared" ref="E295:F298" si="199">SUMPRODUCT(($D$274:$D$293=$C295)*E$274:E$293)</f>
        <v>-110555</v>
      </c>
      <c r="F295" s="166">
        <f t="shared" ca="1" si="199"/>
        <v>88461.565656565639</v>
      </c>
      <c r="G295" s="166">
        <f t="shared" ref="G295:P298" ca="1" si="200">SUMPRODUCT(($D$274:$D$293=$C295)*G$274:G$293)</f>
        <v>84647.196969696961</v>
      </c>
      <c r="H295" s="166">
        <f t="shared" ca="1" si="200"/>
        <v>80987.425807663385</v>
      </c>
      <c r="I295" s="166">
        <f t="shared" ca="1" si="200"/>
        <v>77476.932543883595</v>
      </c>
      <c r="J295" s="166">
        <f t="shared" ca="1" si="200"/>
        <v>74110.484122653681</v>
      </c>
      <c r="K295" s="166">
        <f t="shared" ca="1" si="200"/>
        <v>70882.944235955598</v>
      </c>
      <c r="L295" s="166">
        <f t="shared" ca="1" si="200"/>
        <v>67789.281754788011</v>
      </c>
      <c r="M295" s="166">
        <f t="shared" ca="1" si="200"/>
        <v>64824.577610986438</v>
      </c>
      <c r="N295" s="166">
        <f t="shared" ca="1" si="200"/>
        <v>61984.030305989261</v>
      </c>
      <c r="O295" s="166">
        <f t="shared" ca="1" si="200"/>
        <v>59262.960205347139</v>
      </c>
      <c r="P295" s="166">
        <f t="shared" ca="1" si="200"/>
        <v>56656.812761792607</v>
      </c>
      <c r="Q295" s="166">
        <f t="shared" ref="Q295:Y298" ca="1" si="201">SUMPRODUCT(($D$274:$D$293=$C295)*Q$274:Q$293)</f>
        <v>54161.160795229633</v>
      </c>
      <c r="R295" s="166">
        <f t="shared" ca="1" si="201"/>
        <v>51771.7059449261</v>
      </c>
      <c r="S295" s="166">
        <f t="shared" ca="1" si="201"/>
        <v>49484.279397369603</v>
      </c>
      <c r="T295" s="166">
        <f t="shared" ca="1" si="201"/>
        <v>47294.841982558719</v>
      </c>
      <c r="U295" s="166">
        <f t="shared" ca="1" si="201"/>
        <v>45199.48372184451</v>
      </c>
      <c r="V295" s="166">
        <f t="shared" ca="1" si="201"/>
        <v>43194.422901712976</v>
      </c>
      <c r="W295" s="166">
        <f t="shared" ca="1" si="201"/>
        <v>41276.004740021512</v>
      </c>
      <c r="X295" s="166">
        <f t="shared" ca="1" si="201"/>
        <v>39440.699704090795</v>
      </c>
      <c r="Y295" s="166">
        <f t="shared" ca="1" si="201"/>
        <v>37685.101533638168</v>
      </c>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97"/>
      <c r="AZ295" s="197"/>
      <c r="BA295" s="197"/>
      <c r="BB295" s="197"/>
      <c r="BC295" s="197"/>
      <c r="BD295" s="60"/>
      <c r="BE295" s="60"/>
      <c r="BF295" s="235"/>
      <c r="BG295" s="318"/>
      <c r="BH295" s="318"/>
      <c r="BI295" s="318"/>
      <c r="BJ295" s="318"/>
      <c r="BK295" s="318"/>
      <c r="BL295" s="318"/>
      <c r="BM295" s="318"/>
      <c r="BN295" s="318"/>
      <c r="BO295" s="318"/>
      <c r="BP295" s="318"/>
      <c r="BQ295" s="318"/>
      <c r="BR295" s="318"/>
      <c r="BS295" s="318"/>
      <c r="BT295" s="318"/>
      <c r="BU295" s="318"/>
      <c r="BV295" s="318"/>
      <c r="BW295" s="318"/>
      <c r="BX295" s="318"/>
      <c r="BY295" s="318"/>
      <c r="BZ295" s="318"/>
      <c r="CA295" s="318"/>
      <c r="CB295" s="318"/>
      <c r="CC295" s="318"/>
      <c r="CD295" s="118"/>
    </row>
    <row r="296" spans="1:83" s="38" customFormat="1" ht="14" hidden="1" x14ac:dyDescent="0.3">
      <c r="A296" s="37"/>
      <c r="B296" s="37"/>
      <c r="C296" s="41" t="s">
        <v>282</v>
      </c>
      <c r="D296" s="41" t="s">
        <v>282</v>
      </c>
      <c r="E296" s="164">
        <f t="shared" si="199"/>
        <v>-127100</v>
      </c>
      <c r="F296" s="164">
        <f t="shared" ca="1" si="199"/>
        <v>42004.040404040403</v>
      </c>
      <c r="G296" s="164">
        <f t="shared" ca="1" si="200"/>
        <v>40094.765840220382</v>
      </c>
      <c r="H296" s="164">
        <f t="shared" ca="1" si="200"/>
        <v>38272.276483846719</v>
      </c>
      <c r="I296" s="164">
        <f t="shared" ca="1" si="200"/>
        <v>36532.627552762788</v>
      </c>
      <c r="J296" s="164">
        <f t="shared" ca="1" si="200"/>
        <v>34872.053573091747</v>
      </c>
      <c r="K296" s="164">
        <f t="shared" ca="1" si="200"/>
        <v>33286.960228860306</v>
      </c>
      <c r="L296" s="164">
        <f t="shared" ca="1" si="200"/>
        <v>31773.916582093923</v>
      </c>
      <c r="M296" s="164">
        <f t="shared" ca="1" si="200"/>
        <v>30329.647646544199</v>
      </c>
      <c r="N296" s="164">
        <f t="shared" ca="1" si="200"/>
        <v>28951.027298974008</v>
      </c>
      <c r="O296" s="164">
        <f t="shared" ca="1" si="200"/>
        <v>27635.071512657003</v>
      </c>
      <c r="P296" s="164">
        <f t="shared" ca="1" si="200"/>
        <v>26378.93189844532</v>
      </c>
      <c r="Q296" s="164">
        <f t="shared" ca="1" si="201"/>
        <v>25179.889539425079</v>
      </c>
      <c r="R296" s="164">
        <f t="shared" ca="1" si="201"/>
        <v>24035.349105814854</v>
      </c>
      <c r="S296" s="164">
        <f t="shared" ca="1" si="201"/>
        <v>22942.833237368715</v>
      </c>
      <c r="T296" s="164">
        <f t="shared" ca="1" si="201"/>
        <v>21899.977181124683</v>
      </c>
      <c r="U296" s="164">
        <f t="shared" ca="1" si="201"/>
        <v>20904.523672891748</v>
      </c>
      <c r="V296" s="164">
        <f t="shared" ca="1" si="201"/>
        <v>19954.318051396669</v>
      </c>
      <c r="W296" s="164">
        <f t="shared" ca="1" si="201"/>
        <v>19047.303594515004</v>
      </c>
      <c r="X296" s="164">
        <f t="shared" ca="1" si="201"/>
        <v>18181.517067491586</v>
      </c>
      <c r="Y296" s="164">
        <f t="shared" ca="1" si="201"/>
        <v>17355.0844735147</v>
      </c>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97"/>
      <c r="AZ296" s="197"/>
      <c r="BA296" s="197"/>
      <c r="BB296" s="197"/>
      <c r="BC296" s="197"/>
      <c r="BD296" s="60"/>
      <c r="BE296" s="60"/>
      <c r="BF296" s="235"/>
      <c r="BG296" s="318"/>
      <c r="BH296" s="318"/>
      <c r="BI296" s="318"/>
      <c r="BJ296" s="318"/>
      <c r="BK296" s="318"/>
      <c r="BL296" s="318"/>
      <c r="BM296" s="318"/>
      <c r="BN296" s="318"/>
      <c r="BO296" s="318"/>
      <c r="BP296" s="318"/>
      <c r="BQ296" s="318"/>
      <c r="BR296" s="318"/>
      <c r="BS296" s="318"/>
      <c r="BT296" s="318"/>
      <c r="BU296" s="318"/>
      <c r="BV296" s="318"/>
      <c r="BW296" s="318"/>
      <c r="BX296" s="318"/>
      <c r="BY296" s="318"/>
      <c r="BZ296" s="318"/>
      <c r="CA296" s="318"/>
      <c r="CB296" s="318"/>
      <c r="CC296" s="318"/>
      <c r="CD296" s="118"/>
    </row>
    <row r="297" spans="1:83" s="38" customFormat="1" ht="14" hidden="1" x14ac:dyDescent="0.3">
      <c r="A297" s="37"/>
      <c r="B297" s="37"/>
      <c r="C297" s="41" t="s">
        <v>283</v>
      </c>
      <c r="D297" s="41" t="s">
        <v>283</v>
      </c>
      <c r="E297" s="164">
        <f t="shared" si="199"/>
        <v>-296670</v>
      </c>
      <c r="F297" s="164">
        <f t="shared" ca="1" si="199"/>
        <v>45498.363636363632</v>
      </c>
      <c r="G297" s="164">
        <f t="shared" ca="1" si="200"/>
        <v>43388.933884297519</v>
      </c>
      <c r="H297" s="164">
        <f t="shared" ca="1" si="200"/>
        <v>41379.143876784365</v>
      </c>
      <c r="I297" s="164">
        <f t="shared" ca="1" si="200"/>
        <v>39464.123027798647</v>
      </c>
      <c r="J297" s="164">
        <f t="shared" ca="1" si="200"/>
        <v>37639.253187654831</v>
      </c>
      <c r="K297" s="164">
        <f t="shared" ca="1" si="200"/>
        <v>35900.154346258751</v>
      </c>
      <c r="L297" s="164">
        <f t="shared" ca="1" si="200"/>
        <v>34242.671242789991</v>
      </c>
      <c r="M297" s="164">
        <f t="shared" ca="1" si="200"/>
        <v>32662.860817289053</v>
      </c>
      <c r="N297" s="164">
        <f t="shared" ca="1" si="200"/>
        <v>31156.980444675468</v>
      </c>
      <c r="O297" s="164">
        <f t="shared" ca="1" si="200"/>
        <v>29721.476896355107</v>
      </c>
      <c r="P297" s="164">
        <f t="shared" ca="1" si="200"/>
        <v>28352.975978819439</v>
      </c>
      <c r="Q297" s="164">
        <f t="shared" ca="1" si="201"/>
        <v>27048.27280253304</v>
      </c>
      <c r="R297" s="164">
        <f t="shared" ca="1" si="201"/>
        <v>25804.322637976526</v>
      </c>
      <c r="S297" s="164">
        <f t="shared" ca="1" si="201"/>
        <v>24618.232318989551</v>
      </c>
      <c r="T297" s="164">
        <f t="shared" ca="1" si="201"/>
        <v>23487.252156567025</v>
      </c>
      <c r="U297" s="164">
        <f t="shared" ca="1" si="201"/>
        <v>22408.768329024471</v>
      </c>
      <c r="V297" s="164">
        <f t="shared" ca="1" si="201"/>
        <v>21380.29571698745</v>
      </c>
      <c r="W297" s="164">
        <f t="shared" ca="1" si="201"/>
        <v>20399.471153992556</v>
      </c>
      <c r="X297" s="164">
        <f t="shared" ca="1" si="201"/>
        <v>19464.047065633378</v>
      </c>
      <c r="Y297" s="164">
        <f t="shared" ca="1" si="201"/>
        <v>18571.88547215793</v>
      </c>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97"/>
      <c r="AZ297" s="197"/>
      <c r="BA297" s="197"/>
      <c r="BB297" s="197"/>
      <c r="BC297" s="197"/>
      <c r="BD297" s="60"/>
      <c r="BE297" s="60"/>
      <c r="BF297" s="235"/>
      <c r="BG297" s="318"/>
      <c r="BH297" s="318"/>
      <c r="BI297" s="318"/>
      <c r="BJ297" s="318"/>
      <c r="BK297" s="318"/>
      <c r="BL297" s="318"/>
      <c r="BM297" s="318"/>
      <c r="BN297" s="318"/>
      <c r="BO297" s="318"/>
      <c r="BP297" s="318"/>
      <c r="BQ297" s="318"/>
      <c r="BR297" s="318"/>
      <c r="BS297" s="318"/>
      <c r="BT297" s="318"/>
      <c r="BU297" s="318"/>
      <c r="BV297" s="318"/>
      <c r="BW297" s="318"/>
      <c r="BX297" s="318"/>
      <c r="BY297" s="318"/>
      <c r="BZ297" s="318"/>
      <c r="CA297" s="318"/>
      <c r="CB297" s="318"/>
      <c r="CC297" s="318"/>
      <c r="CD297" s="118"/>
    </row>
    <row r="298" spans="1:83" s="38" customFormat="1" ht="14" hidden="1" x14ac:dyDescent="0.3">
      <c r="A298" s="37"/>
      <c r="B298" s="37"/>
      <c r="C298" s="41"/>
      <c r="D298" s="41" t="s">
        <v>296</v>
      </c>
      <c r="E298" s="164">
        <f t="shared" si="199"/>
        <v>0</v>
      </c>
      <c r="F298" s="164">
        <f t="shared" ca="1" si="199"/>
        <v>0</v>
      </c>
      <c r="G298" s="164">
        <f t="shared" ca="1" si="200"/>
        <v>0</v>
      </c>
      <c r="H298" s="164">
        <f t="shared" ca="1" si="200"/>
        <v>0</v>
      </c>
      <c r="I298" s="164">
        <f t="shared" ca="1" si="200"/>
        <v>0</v>
      </c>
      <c r="J298" s="164">
        <f t="shared" ca="1" si="200"/>
        <v>0</v>
      </c>
      <c r="K298" s="164">
        <f t="shared" ca="1" si="200"/>
        <v>0</v>
      </c>
      <c r="L298" s="164">
        <f t="shared" ca="1" si="200"/>
        <v>0</v>
      </c>
      <c r="M298" s="164">
        <f t="shared" ca="1" si="200"/>
        <v>0</v>
      </c>
      <c r="N298" s="164">
        <f t="shared" ca="1" si="200"/>
        <v>0</v>
      </c>
      <c r="O298" s="164">
        <f t="shared" ca="1" si="200"/>
        <v>0</v>
      </c>
      <c r="P298" s="164">
        <f t="shared" ca="1" si="200"/>
        <v>0</v>
      </c>
      <c r="Q298" s="164">
        <f t="shared" ca="1" si="201"/>
        <v>0</v>
      </c>
      <c r="R298" s="164">
        <f t="shared" ca="1" si="201"/>
        <v>0</v>
      </c>
      <c r="S298" s="164">
        <f t="shared" ca="1" si="201"/>
        <v>0</v>
      </c>
      <c r="T298" s="164">
        <f t="shared" ca="1" si="201"/>
        <v>0</v>
      </c>
      <c r="U298" s="164">
        <f t="shared" ca="1" si="201"/>
        <v>0</v>
      </c>
      <c r="V298" s="164">
        <f t="shared" ca="1" si="201"/>
        <v>0</v>
      </c>
      <c r="W298" s="164">
        <f t="shared" ca="1" si="201"/>
        <v>0</v>
      </c>
      <c r="X298" s="164">
        <f t="shared" ca="1" si="201"/>
        <v>0</v>
      </c>
      <c r="Y298" s="164">
        <f t="shared" ca="1" si="201"/>
        <v>0</v>
      </c>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97"/>
      <c r="AZ298" s="197"/>
      <c r="BA298" s="197"/>
      <c r="BB298" s="197"/>
      <c r="BC298" s="197"/>
      <c r="BD298" s="60"/>
      <c r="BE298" s="60"/>
      <c r="BF298" s="235"/>
      <c r="BG298" s="318"/>
      <c r="BH298" s="318"/>
      <c r="BI298" s="318"/>
      <c r="BJ298" s="318"/>
      <c r="BK298" s="318"/>
      <c r="BL298" s="318"/>
      <c r="BM298" s="318"/>
      <c r="BN298" s="318"/>
      <c r="BO298" s="318"/>
      <c r="BP298" s="318"/>
      <c r="BQ298" s="318"/>
      <c r="BR298" s="318"/>
      <c r="BS298" s="318"/>
      <c r="BT298" s="318"/>
      <c r="BU298" s="318"/>
      <c r="BV298" s="318"/>
      <c r="BW298" s="318"/>
      <c r="BX298" s="318"/>
      <c r="BY298" s="318"/>
      <c r="BZ298" s="318"/>
      <c r="CA298" s="318"/>
      <c r="CB298" s="318"/>
      <c r="CC298" s="318"/>
      <c r="CD298" s="118"/>
    </row>
    <row r="299" spans="1:83" s="38" customFormat="1" ht="14" hidden="1" x14ac:dyDescent="0.3">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97"/>
      <c r="AZ299" s="197"/>
      <c r="BA299" s="197"/>
      <c r="BB299" s="197"/>
      <c r="BC299" s="197"/>
      <c r="BD299" s="60"/>
      <c r="BE299" s="60"/>
      <c r="BF299" s="235"/>
      <c r="BG299" s="318"/>
      <c r="BH299" s="318"/>
      <c r="BI299" s="318"/>
      <c r="BJ299" s="318"/>
      <c r="BK299" s="318"/>
      <c r="BL299" s="318"/>
      <c r="BM299" s="318"/>
      <c r="BN299" s="318"/>
      <c r="BO299" s="318"/>
      <c r="BP299" s="318"/>
      <c r="BQ299" s="318"/>
      <c r="BR299" s="318"/>
      <c r="BS299" s="318"/>
      <c r="BT299" s="318"/>
      <c r="BU299" s="318"/>
      <c r="BV299" s="318"/>
      <c r="BW299" s="318"/>
      <c r="BX299" s="318"/>
      <c r="BY299" s="318"/>
      <c r="BZ299" s="318"/>
      <c r="CA299" s="318"/>
      <c r="CB299" s="318"/>
      <c r="CC299" s="318"/>
      <c r="CD299" s="118"/>
    </row>
    <row r="300" spans="1:83" s="38" customFormat="1" ht="14" hidden="1" x14ac:dyDescent="0.3">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97"/>
      <c r="AZ300" s="197"/>
      <c r="BA300" s="197"/>
      <c r="BB300" s="197"/>
      <c r="BC300" s="197"/>
      <c r="BD300" s="60"/>
      <c r="BE300" s="60"/>
      <c r="BF300" s="235"/>
      <c r="BG300" s="318"/>
      <c r="BH300" s="318"/>
      <c r="BI300" s="318"/>
      <c r="BJ300" s="318"/>
      <c r="BK300" s="318"/>
      <c r="BL300" s="318"/>
      <c r="BM300" s="318"/>
      <c r="BN300" s="318"/>
      <c r="BO300" s="318"/>
      <c r="BP300" s="318"/>
      <c r="BQ300" s="318"/>
      <c r="BR300" s="318"/>
      <c r="BS300" s="318"/>
      <c r="BT300" s="318"/>
      <c r="BU300" s="318"/>
      <c r="BV300" s="318"/>
      <c r="BW300" s="318"/>
      <c r="BX300" s="318"/>
      <c r="BY300" s="318"/>
      <c r="BZ300" s="318"/>
      <c r="CA300" s="318"/>
      <c r="CB300" s="318"/>
      <c r="CC300" s="318"/>
      <c r="CD300" s="118"/>
    </row>
    <row r="301" spans="1:83" s="38" customFormat="1" ht="14" hidden="1" x14ac:dyDescent="0.3">
      <c r="A301" s="37"/>
      <c r="B301" s="37"/>
      <c r="C301" s="37" t="s">
        <v>332</v>
      </c>
      <c r="D301" s="37"/>
      <c r="E301" s="37"/>
      <c r="F301" s="37"/>
      <c r="G301" s="37"/>
      <c r="H301" s="37"/>
      <c r="I301" s="37"/>
      <c r="J301" s="37"/>
      <c r="K301" s="37"/>
      <c r="L301" s="37"/>
      <c r="M301" s="37"/>
      <c r="N301" s="37"/>
      <c r="O301" s="37"/>
      <c r="P301" s="37"/>
      <c r="Q301" s="37"/>
      <c r="R301" s="37"/>
      <c r="S301" s="37"/>
      <c r="T301" s="37"/>
      <c r="U301" s="37"/>
      <c r="V301" s="37"/>
      <c r="W301" s="37"/>
      <c r="X301" s="37"/>
      <c r="Y301" s="37"/>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97"/>
      <c r="AZ301" s="197"/>
      <c r="BA301" s="197"/>
      <c r="BB301" s="197"/>
      <c r="BC301" s="197"/>
      <c r="BD301" s="60"/>
      <c r="BE301" s="60"/>
      <c r="BF301" s="235"/>
      <c r="BG301" s="318"/>
      <c r="BH301" s="318"/>
      <c r="BI301" s="318"/>
      <c r="BJ301" s="318"/>
      <c r="BK301" s="318"/>
      <c r="BL301" s="318"/>
      <c r="BM301" s="318"/>
      <c r="BN301" s="318"/>
      <c r="BO301" s="318"/>
      <c r="BP301" s="318"/>
      <c r="BQ301" s="318"/>
      <c r="BR301" s="318"/>
      <c r="BS301" s="318"/>
      <c r="BT301" s="318"/>
      <c r="BU301" s="318"/>
      <c r="BV301" s="318"/>
      <c r="BW301" s="318"/>
      <c r="BX301" s="318"/>
      <c r="BY301" s="318"/>
      <c r="BZ301" s="318"/>
      <c r="CA301" s="318"/>
      <c r="CB301" s="318"/>
      <c r="CC301" s="318"/>
      <c r="CD301" s="118"/>
    </row>
    <row r="302" spans="1:83" hidden="1" x14ac:dyDescent="0.35">
      <c r="C302" s="37" t="s">
        <v>276</v>
      </c>
      <c r="D302" s="37"/>
      <c r="E302" s="37"/>
      <c r="F302" s="37"/>
      <c r="G302" s="37"/>
      <c r="H302" s="37"/>
      <c r="I302" s="37"/>
      <c r="J302" s="37"/>
      <c r="K302" s="37"/>
      <c r="L302" s="37"/>
      <c r="M302" s="37"/>
      <c r="N302" s="37"/>
      <c r="O302" s="37"/>
      <c r="P302" s="37"/>
      <c r="Q302" s="37"/>
      <c r="R302" s="37"/>
      <c r="S302" s="37"/>
      <c r="T302" s="37"/>
      <c r="U302" s="37"/>
      <c r="V302" s="37"/>
      <c r="W302" s="37"/>
      <c r="X302" s="37"/>
      <c r="Y302" s="37"/>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row>
    <row r="303" spans="1:83" hidden="1" x14ac:dyDescent="0.35">
      <c r="C303" s="167" t="str">
        <f>'Paramètres et Résultats'!$G$223</f>
        <v>TOTAL</v>
      </c>
      <c r="D303" s="168"/>
      <c r="E303" s="139">
        <v>0</v>
      </c>
      <c r="F303" s="139">
        <f t="shared" ref="F303:Y303" si="202">E303+1</f>
        <v>1</v>
      </c>
      <c r="G303" s="139">
        <f t="shared" si="202"/>
        <v>2</v>
      </c>
      <c r="H303" s="139">
        <f t="shared" si="202"/>
        <v>3</v>
      </c>
      <c r="I303" s="139">
        <f t="shared" si="202"/>
        <v>4</v>
      </c>
      <c r="J303" s="139">
        <f t="shared" si="202"/>
        <v>5</v>
      </c>
      <c r="K303" s="139">
        <f t="shared" si="202"/>
        <v>6</v>
      </c>
      <c r="L303" s="139">
        <f t="shared" si="202"/>
        <v>7</v>
      </c>
      <c r="M303" s="139">
        <f t="shared" si="202"/>
        <v>8</v>
      </c>
      <c r="N303" s="139">
        <f t="shared" si="202"/>
        <v>9</v>
      </c>
      <c r="O303" s="139">
        <f t="shared" si="202"/>
        <v>10</v>
      </c>
      <c r="P303" s="139">
        <f t="shared" si="202"/>
        <v>11</v>
      </c>
      <c r="Q303" s="139">
        <f t="shared" si="202"/>
        <v>12</v>
      </c>
      <c r="R303" s="139">
        <f t="shared" si="202"/>
        <v>13</v>
      </c>
      <c r="S303" s="139">
        <f t="shared" si="202"/>
        <v>14</v>
      </c>
      <c r="T303" s="139">
        <f t="shared" si="202"/>
        <v>15</v>
      </c>
      <c r="U303" s="139">
        <f t="shared" si="202"/>
        <v>16</v>
      </c>
      <c r="V303" s="139">
        <f t="shared" si="202"/>
        <v>17</v>
      </c>
      <c r="W303" s="139">
        <f t="shared" si="202"/>
        <v>18</v>
      </c>
      <c r="X303" s="139">
        <f t="shared" si="202"/>
        <v>19</v>
      </c>
      <c r="Y303" s="139">
        <f t="shared" si="202"/>
        <v>20</v>
      </c>
    </row>
    <row r="304" spans="1:83" hidden="1" x14ac:dyDescent="0.35">
      <c r="C304" s="142" t="s">
        <v>272</v>
      </c>
      <c r="D304" s="144"/>
      <c r="E304" s="166">
        <f>SUMPRODUCT(($D$120:$D$124=$C$303)*$E$120:$E$124)-E305</f>
        <v>-534325</v>
      </c>
      <c r="F304" s="166"/>
      <c r="G304" s="166"/>
      <c r="H304" s="166"/>
      <c r="I304" s="166"/>
      <c r="J304" s="166"/>
      <c r="K304" s="166"/>
      <c r="L304" s="166"/>
      <c r="M304" s="166"/>
      <c r="N304" s="166"/>
      <c r="O304" s="166"/>
      <c r="P304" s="166"/>
      <c r="Q304" s="166"/>
      <c r="R304" s="166"/>
      <c r="S304" s="166"/>
      <c r="T304" s="166"/>
      <c r="U304" s="166"/>
      <c r="V304" s="166"/>
      <c r="W304" s="166"/>
      <c r="X304" s="166"/>
      <c r="Y304" s="166"/>
    </row>
    <row r="305" spans="1:82" hidden="1" x14ac:dyDescent="0.35">
      <c r="C305" s="41" t="s">
        <v>323</v>
      </c>
      <c r="D305" s="145"/>
      <c r="E305" s="164">
        <f>-SUMPRODUCT(($D$120:$D$124=$C$303)*$F$120:$F$124)</f>
        <v>-34575</v>
      </c>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82" hidden="1" x14ac:dyDescent="0.35">
      <c r="C306" s="41" t="s">
        <v>333</v>
      </c>
      <c r="D306" s="145"/>
      <c r="E306" s="164"/>
      <c r="F306" s="164">
        <f t="shared" ref="F306:Y306" ca="1" si="203">SUMPRODUCT(($D$149:$D$153=$C$303)*F$149:F$153)</f>
        <v>199809.25555555554</v>
      </c>
      <c r="G306" s="164">
        <f t="shared" ca="1" si="203"/>
        <v>209799.71833333335</v>
      </c>
      <c r="H306" s="164">
        <f t="shared" ca="1" si="203"/>
        <v>220289.70424999998</v>
      </c>
      <c r="I306" s="164">
        <f t="shared" ca="1" si="203"/>
        <v>231304.18946250001</v>
      </c>
      <c r="J306" s="164">
        <f t="shared" ca="1" si="203"/>
        <v>242869.39893562504</v>
      </c>
      <c r="K306" s="164">
        <f t="shared" ca="1" si="203"/>
        <v>255012.8688824063</v>
      </c>
      <c r="L306" s="164">
        <f t="shared" ca="1" si="203"/>
        <v>267763.51232652663</v>
      </c>
      <c r="M306" s="164">
        <f t="shared" ca="1" si="203"/>
        <v>281151.68794285296</v>
      </c>
      <c r="N306" s="164">
        <f t="shared" ca="1" si="203"/>
        <v>295209.2723399956</v>
      </c>
      <c r="O306" s="164">
        <f t="shared" ca="1" si="203"/>
        <v>309969.7359569954</v>
      </c>
      <c r="P306" s="164">
        <f t="shared" ca="1" si="203"/>
        <v>325468.22275484528</v>
      </c>
      <c r="Q306" s="164">
        <f t="shared" ca="1" si="203"/>
        <v>341741.63389258739</v>
      </c>
      <c r="R306" s="164">
        <f t="shared" ca="1" si="203"/>
        <v>358828.71558721684</v>
      </c>
      <c r="S306" s="164">
        <f t="shared" ca="1" si="203"/>
        <v>376770.15136657777</v>
      </c>
      <c r="T306" s="164">
        <f t="shared" ca="1" si="203"/>
        <v>395608.65893490671</v>
      </c>
      <c r="U306" s="164">
        <f t="shared" ca="1" si="203"/>
        <v>415389.09188165207</v>
      </c>
      <c r="V306" s="164">
        <f t="shared" ca="1" si="203"/>
        <v>436158.54647573474</v>
      </c>
      <c r="W306" s="164">
        <f t="shared" ca="1" si="203"/>
        <v>457966.47379952145</v>
      </c>
      <c r="X306" s="164">
        <f t="shared" ca="1" si="203"/>
        <v>480864.79748949746</v>
      </c>
      <c r="Y306" s="164">
        <f t="shared" ca="1" si="203"/>
        <v>504908.03736397234</v>
      </c>
    </row>
    <row r="307" spans="1:82" hidden="1" x14ac:dyDescent="0.35">
      <c r="C307" s="41" t="s">
        <v>335</v>
      </c>
      <c r="D307" s="145"/>
      <c r="E307" s="164"/>
      <c r="F307" s="164">
        <f>SUMPRODUCT(($D$178:$D$182=$C$303)*F$178:F$182)</f>
        <v>-4000</v>
      </c>
      <c r="G307" s="164">
        <f t="shared" ref="G307:Y307" si="204">SUMPRODUCT(($D$178:$D$182=$C$303)*G$178:G$182)</f>
        <v>-4000</v>
      </c>
      <c r="H307" s="164">
        <f t="shared" si="204"/>
        <v>-4000</v>
      </c>
      <c r="I307" s="164">
        <f t="shared" si="204"/>
        <v>-4000</v>
      </c>
      <c r="J307" s="164">
        <f t="shared" si="204"/>
        <v>-4000</v>
      </c>
      <c r="K307" s="164">
        <f t="shared" si="204"/>
        <v>-4000</v>
      </c>
      <c r="L307" s="164">
        <f t="shared" si="204"/>
        <v>-4000</v>
      </c>
      <c r="M307" s="164">
        <f t="shared" si="204"/>
        <v>-4000</v>
      </c>
      <c r="N307" s="164">
        <f t="shared" si="204"/>
        <v>-4000</v>
      </c>
      <c r="O307" s="164">
        <f t="shared" si="204"/>
        <v>-4000</v>
      </c>
      <c r="P307" s="164">
        <f t="shared" si="204"/>
        <v>-4000</v>
      </c>
      <c r="Q307" s="164">
        <f t="shared" si="204"/>
        <v>-4000</v>
      </c>
      <c r="R307" s="164">
        <f t="shared" si="204"/>
        <v>-4000</v>
      </c>
      <c r="S307" s="164">
        <f t="shared" si="204"/>
        <v>-4000</v>
      </c>
      <c r="T307" s="164">
        <f t="shared" si="204"/>
        <v>-4000</v>
      </c>
      <c r="U307" s="164">
        <f t="shared" si="204"/>
        <v>-4000</v>
      </c>
      <c r="V307" s="164">
        <f t="shared" si="204"/>
        <v>-4000</v>
      </c>
      <c r="W307" s="164">
        <f t="shared" si="204"/>
        <v>-4000</v>
      </c>
      <c r="X307" s="164">
        <f t="shared" si="204"/>
        <v>-4000</v>
      </c>
      <c r="Y307" s="164">
        <f t="shared" si="204"/>
        <v>-4000</v>
      </c>
    </row>
    <row r="308" spans="1:82" hidden="1" x14ac:dyDescent="0.35">
      <c r="C308" t="s">
        <v>108</v>
      </c>
      <c r="E308" s="323">
        <f t="shared" ref="E308:Y308" si="205">E304+E306+E307</f>
        <v>-534325</v>
      </c>
      <c r="F308" s="323">
        <f t="shared" ca="1" si="205"/>
        <v>195809.25555555554</v>
      </c>
      <c r="G308" s="323">
        <f t="shared" ca="1" si="205"/>
        <v>205799.71833333335</v>
      </c>
      <c r="H308" s="323">
        <f t="shared" ca="1" si="205"/>
        <v>216289.70424999998</v>
      </c>
      <c r="I308" s="323">
        <f t="shared" ca="1" si="205"/>
        <v>227304.18946250001</v>
      </c>
      <c r="J308" s="323">
        <f t="shared" ca="1" si="205"/>
        <v>238869.39893562504</v>
      </c>
      <c r="K308" s="323">
        <f t="shared" ca="1" si="205"/>
        <v>251012.8688824063</v>
      </c>
      <c r="L308" s="323">
        <f t="shared" ca="1" si="205"/>
        <v>263763.51232652663</v>
      </c>
      <c r="M308" s="323">
        <f t="shared" ca="1" si="205"/>
        <v>277151.68794285296</v>
      </c>
      <c r="N308" s="323">
        <f t="shared" ca="1" si="205"/>
        <v>291209.2723399956</v>
      </c>
      <c r="O308" s="323">
        <f t="shared" ca="1" si="205"/>
        <v>305969.7359569954</v>
      </c>
      <c r="P308" s="323">
        <f t="shared" ca="1" si="205"/>
        <v>321468.22275484528</v>
      </c>
      <c r="Q308" s="323">
        <f t="shared" ca="1" si="205"/>
        <v>337741.63389258739</v>
      </c>
      <c r="R308" s="323">
        <f t="shared" ca="1" si="205"/>
        <v>354828.71558721684</v>
      </c>
      <c r="S308" s="323">
        <f t="shared" ca="1" si="205"/>
        <v>372770.15136657777</v>
      </c>
      <c r="T308" s="323">
        <f t="shared" ca="1" si="205"/>
        <v>391608.65893490671</v>
      </c>
      <c r="U308" s="323">
        <f t="shared" ca="1" si="205"/>
        <v>411389.09188165207</v>
      </c>
      <c r="V308" s="323">
        <f t="shared" ca="1" si="205"/>
        <v>432158.54647573474</v>
      </c>
      <c r="W308" s="323">
        <f t="shared" ca="1" si="205"/>
        <v>453966.47379952145</v>
      </c>
      <c r="X308" s="323">
        <f t="shared" ca="1" si="205"/>
        <v>476864.79748949746</v>
      </c>
      <c r="Y308" s="323">
        <f t="shared" ca="1" si="205"/>
        <v>500908.03736397234</v>
      </c>
    </row>
    <row r="309" spans="1:82" hidden="1" x14ac:dyDescent="0.35">
      <c r="C309" s="37" t="s">
        <v>332</v>
      </c>
      <c r="E309" s="323">
        <f>E308</f>
        <v>-534325</v>
      </c>
      <c r="F309" s="323">
        <f t="shared" ref="F309:Y309" ca="1" si="206">E309+F308</f>
        <v>-338515.74444444443</v>
      </c>
      <c r="G309" s="323">
        <f t="shared" ca="1" si="206"/>
        <v>-132716.02611111107</v>
      </c>
      <c r="H309" s="323">
        <f t="shared" ca="1" si="206"/>
        <v>83573.678138888907</v>
      </c>
      <c r="I309" s="323">
        <f t="shared" ca="1" si="206"/>
        <v>310877.86760138895</v>
      </c>
      <c r="J309" s="323">
        <f t="shared" ca="1" si="206"/>
        <v>549747.26653701393</v>
      </c>
      <c r="K309" s="323">
        <f t="shared" ca="1" si="206"/>
        <v>800760.1354194202</v>
      </c>
      <c r="L309" s="323">
        <f t="shared" ca="1" si="206"/>
        <v>1064523.6477459469</v>
      </c>
      <c r="M309" s="323">
        <f t="shared" ca="1" si="206"/>
        <v>1341675.3356887999</v>
      </c>
      <c r="N309" s="323">
        <f t="shared" ca="1" si="206"/>
        <v>1632884.6080287956</v>
      </c>
      <c r="O309" s="323">
        <f t="shared" ca="1" si="206"/>
        <v>1938854.3439857909</v>
      </c>
      <c r="P309" s="323">
        <f t="shared" ca="1" si="206"/>
        <v>2260322.5667406362</v>
      </c>
      <c r="Q309" s="323">
        <f t="shared" ca="1" si="206"/>
        <v>2598064.2006332236</v>
      </c>
      <c r="R309" s="323">
        <f t="shared" ca="1" si="206"/>
        <v>2952892.9162204405</v>
      </c>
      <c r="S309" s="323">
        <f t="shared" ca="1" si="206"/>
        <v>3325663.0675870185</v>
      </c>
      <c r="T309" s="323">
        <f t="shared" ca="1" si="206"/>
        <v>3717271.7265219251</v>
      </c>
      <c r="U309" s="323">
        <f t="shared" ca="1" si="206"/>
        <v>4128660.818403577</v>
      </c>
      <c r="V309" s="323">
        <f t="shared" ca="1" si="206"/>
        <v>4560819.364879312</v>
      </c>
      <c r="W309" s="323">
        <f t="shared" ca="1" si="206"/>
        <v>5014785.8386788331</v>
      </c>
      <c r="X309" s="323">
        <f t="shared" ca="1" si="206"/>
        <v>5491650.6361683309</v>
      </c>
      <c r="Y309" s="323">
        <f t="shared" ca="1" si="206"/>
        <v>5992558.6735323034</v>
      </c>
    </row>
    <row r="310" spans="1:82" hidden="1" x14ac:dyDescent="0.35"/>
    <row r="311" spans="1:82" s="38" customFormat="1" ht="14" hidden="1" x14ac:dyDescent="0.3">
      <c r="A311" s="37"/>
      <c r="B311" s="37"/>
      <c r="C311" s="37" t="s">
        <v>332</v>
      </c>
      <c r="D311" s="37"/>
      <c r="E311" s="37"/>
      <c r="F311" s="37"/>
      <c r="G311" s="37"/>
      <c r="H311" s="37"/>
      <c r="I311" s="37"/>
      <c r="J311" s="37"/>
      <c r="K311" s="37"/>
      <c r="L311" s="37"/>
      <c r="M311" s="37"/>
      <c r="N311" s="37"/>
      <c r="O311" s="37"/>
      <c r="P311" s="37"/>
      <c r="Q311" s="37"/>
      <c r="R311" s="37"/>
      <c r="S311" s="37"/>
      <c r="T311" s="37"/>
      <c r="U311" s="37"/>
      <c r="V311" s="37"/>
      <c r="W311" s="37"/>
      <c r="X311" s="37"/>
      <c r="Y311" s="37"/>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97"/>
      <c r="AZ311" s="197"/>
      <c r="BA311" s="197"/>
      <c r="BB311" s="197"/>
      <c r="BC311" s="197"/>
      <c r="BD311" s="60"/>
      <c r="BE311" s="60"/>
      <c r="BF311" s="318"/>
      <c r="BG311" s="318"/>
      <c r="BH311" s="318"/>
      <c r="BI311" s="318"/>
      <c r="BJ311" s="318"/>
      <c r="BK311" s="318"/>
      <c r="BL311" s="318"/>
      <c r="BM311" s="318"/>
      <c r="BN311" s="318"/>
      <c r="BO311" s="318"/>
      <c r="BP311" s="318"/>
      <c r="BQ311" s="318"/>
      <c r="BR311" s="318"/>
      <c r="BS311" s="318"/>
      <c r="BT311" s="318"/>
      <c r="BU311" s="318"/>
      <c r="BV311" s="318"/>
      <c r="BW311" s="318"/>
      <c r="BX311" s="318"/>
      <c r="BY311" s="318"/>
      <c r="BZ311" s="318"/>
      <c r="CA311" s="318"/>
      <c r="CB311" s="318"/>
      <c r="CC311" s="318"/>
      <c r="CD311" s="118"/>
    </row>
    <row r="312" spans="1:82" s="23" customFormat="1" hidden="1" x14ac:dyDescent="0.35">
      <c r="C312" s="37" t="s">
        <v>278</v>
      </c>
      <c r="D312" s="37"/>
      <c r="E312" s="37"/>
      <c r="F312" s="37"/>
      <c r="G312" s="37"/>
      <c r="H312" s="37"/>
      <c r="I312" s="37"/>
      <c r="J312" s="37"/>
      <c r="K312" s="37"/>
      <c r="L312" s="37"/>
      <c r="M312" s="37"/>
      <c r="N312" s="37"/>
      <c r="O312" s="37"/>
      <c r="P312" s="37"/>
      <c r="Q312" s="37"/>
      <c r="R312" s="37"/>
      <c r="S312" s="37"/>
      <c r="T312" s="37"/>
      <c r="U312" s="37"/>
      <c r="V312" s="37"/>
      <c r="W312" s="37"/>
      <c r="X312" s="37"/>
      <c r="Y312" s="37"/>
    </row>
    <row r="313" spans="1:82" s="23" customFormat="1" hidden="1" x14ac:dyDescent="0.35">
      <c r="C313" s="167" t="str">
        <f>'Paramètres et Résultats'!$G$223</f>
        <v>TOTAL</v>
      </c>
      <c r="D313" s="168"/>
      <c r="E313" s="139">
        <v>0</v>
      </c>
      <c r="F313" s="139">
        <f t="shared" ref="F313:Y313" si="207">E313+1</f>
        <v>1</v>
      </c>
      <c r="G313" s="139">
        <f t="shared" si="207"/>
        <v>2</v>
      </c>
      <c r="H313" s="139">
        <f t="shared" si="207"/>
        <v>3</v>
      </c>
      <c r="I313" s="139">
        <f t="shared" si="207"/>
        <v>4</v>
      </c>
      <c r="J313" s="139">
        <f t="shared" si="207"/>
        <v>5</v>
      </c>
      <c r="K313" s="139">
        <f t="shared" si="207"/>
        <v>6</v>
      </c>
      <c r="L313" s="139">
        <f t="shared" si="207"/>
        <v>7</v>
      </c>
      <c r="M313" s="139">
        <f t="shared" si="207"/>
        <v>8</v>
      </c>
      <c r="N313" s="139">
        <f t="shared" si="207"/>
        <v>9</v>
      </c>
      <c r="O313" s="139">
        <f t="shared" si="207"/>
        <v>10</v>
      </c>
      <c r="P313" s="139">
        <f t="shared" si="207"/>
        <v>11</v>
      </c>
      <c r="Q313" s="139">
        <f t="shared" si="207"/>
        <v>12</v>
      </c>
      <c r="R313" s="139">
        <f t="shared" si="207"/>
        <v>13</v>
      </c>
      <c r="S313" s="139">
        <f t="shared" si="207"/>
        <v>14</v>
      </c>
      <c r="T313" s="139">
        <f t="shared" si="207"/>
        <v>15</v>
      </c>
      <c r="U313" s="139">
        <f t="shared" si="207"/>
        <v>16</v>
      </c>
      <c r="V313" s="139">
        <f t="shared" si="207"/>
        <v>17</v>
      </c>
      <c r="W313" s="139">
        <f t="shared" si="207"/>
        <v>18</v>
      </c>
      <c r="X313" s="139">
        <f t="shared" si="207"/>
        <v>19</v>
      </c>
      <c r="Y313" s="139">
        <f t="shared" si="207"/>
        <v>20</v>
      </c>
    </row>
    <row r="314" spans="1:82" s="23" customFormat="1" hidden="1" x14ac:dyDescent="0.35">
      <c r="C314" s="142" t="s">
        <v>272</v>
      </c>
      <c r="D314" s="144"/>
      <c r="E314" s="166">
        <f>SUMPRODUCT(($D$120:$D$124=$C$303)*$E$120:$E$124)-E305</f>
        <v>-534325</v>
      </c>
      <c r="F314" s="166"/>
      <c r="G314" s="166"/>
      <c r="H314" s="166"/>
      <c r="I314" s="166"/>
      <c r="J314" s="166"/>
      <c r="K314" s="166"/>
      <c r="L314" s="166"/>
      <c r="M314" s="166"/>
      <c r="N314" s="166"/>
      <c r="O314" s="166"/>
      <c r="P314" s="166"/>
      <c r="Q314" s="166"/>
      <c r="R314" s="166"/>
      <c r="S314" s="166"/>
      <c r="T314" s="166"/>
      <c r="U314" s="166"/>
      <c r="V314" s="166"/>
      <c r="W314" s="166"/>
      <c r="X314" s="166"/>
      <c r="Y314" s="166"/>
    </row>
    <row r="315" spans="1:82" s="23" customFormat="1" hidden="1" x14ac:dyDescent="0.35">
      <c r="C315" s="41" t="s">
        <v>323</v>
      </c>
      <c r="D315" s="145"/>
      <c r="E315" s="164">
        <f>-SUMPRODUCT(($D$120:$D$124=$C$303)*$F$120:$F$124)</f>
        <v>-34575</v>
      </c>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82" s="23" customFormat="1" hidden="1" x14ac:dyDescent="0.35">
      <c r="C316" s="41" t="s">
        <v>333</v>
      </c>
      <c r="D316" s="145"/>
      <c r="E316" s="164"/>
      <c r="F316" s="164">
        <f ca="1">SUMPRODUCT(($D$149:$D$153=$C$303)*F$149:F$153)*F$95</f>
        <v>181644.77777777775</v>
      </c>
      <c r="G316" s="164">
        <f t="shared" ref="G316:Y316" ca="1" si="208">SUMPRODUCT(($D$149:$D$153=$C$303)*G$149:G$153)*G$95</f>
        <v>173388.19696969696</v>
      </c>
      <c r="H316" s="164">
        <f t="shared" ca="1" si="208"/>
        <v>165506.91528925614</v>
      </c>
      <c r="I316" s="164">
        <f t="shared" ca="1" si="208"/>
        <v>157983.87368519907</v>
      </c>
      <c r="J316" s="164">
        <f t="shared" ca="1" si="208"/>
        <v>150802.78851769</v>
      </c>
      <c r="K316" s="164">
        <f t="shared" ca="1" si="208"/>
        <v>143948.11631234048</v>
      </c>
      <c r="L316" s="164">
        <f t="shared" ca="1" si="208"/>
        <v>137405.02011632497</v>
      </c>
      <c r="M316" s="164">
        <f t="shared" ca="1" si="208"/>
        <v>131159.33738376477</v>
      </c>
      <c r="N316" s="164">
        <f t="shared" ca="1" si="208"/>
        <v>125197.54932086635</v>
      </c>
      <c r="O316" s="164">
        <f t="shared" ca="1" si="208"/>
        <v>119506.75162446333</v>
      </c>
      <c r="P316" s="164">
        <f t="shared" ca="1" si="208"/>
        <v>114074.6265506241</v>
      </c>
      <c r="Q316" s="164">
        <f t="shared" ca="1" si="208"/>
        <v>108889.41625286842</v>
      </c>
      <c r="R316" s="164">
        <f t="shared" ca="1" si="208"/>
        <v>103939.89733228352</v>
      </c>
      <c r="S316" s="164">
        <f t="shared" ca="1" si="208"/>
        <v>99215.356544452443</v>
      </c>
      <c r="T316" s="164">
        <f t="shared" ca="1" si="208"/>
        <v>94705.567610613711</v>
      </c>
      <c r="U316" s="164">
        <f t="shared" ca="1" si="208"/>
        <v>90400.769082858547</v>
      </c>
      <c r="V316" s="164">
        <f t="shared" ca="1" si="208"/>
        <v>86291.643215455886</v>
      </c>
      <c r="W316" s="164">
        <f t="shared" ca="1" si="208"/>
        <v>82369.295796571518</v>
      </c>
      <c r="X316" s="164">
        <f t="shared" ca="1" si="208"/>
        <v>78625.236896727336</v>
      </c>
      <c r="Y316" s="164">
        <f t="shared" ca="1" si="208"/>
        <v>75051.362492330649</v>
      </c>
    </row>
    <row r="317" spans="1:82" s="23" customFormat="1" hidden="1" x14ac:dyDescent="0.35">
      <c r="C317" s="41" t="s">
        <v>335</v>
      </c>
      <c r="D317" s="145"/>
      <c r="E317" s="164"/>
      <c r="F317" s="164">
        <f>SUMPRODUCT(($D$178:$D$182=$C$303)*F$178:F$182)*F$95</f>
        <v>-3636.363636363636</v>
      </c>
      <c r="G317" s="164">
        <f t="shared" ref="G317:Y317" si="209">SUMPRODUCT(($D$178:$D$182=$C$303)*G$178:G$182)*G$95</f>
        <v>-3305.7851239669417</v>
      </c>
      <c r="H317" s="164">
        <f t="shared" si="209"/>
        <v>-3005.2592036063102</v>
      </c>
      <c r="I317" s="164">
        <f t="shared" si="209"/>
        <v>-2732.0538214602821</v>
      </c>
      <c r="J317" s="164">
        <f t="shared" si="209"/>
        <v>-2483.6852922366197</v>
      </c>
      <c r="K317" s="164">
        <f t="shared" si="209"/>
        <v>-2257.8957202151087</v>
      </c>
      <c r="L317" s="164">
        <f t="shared" si="209"/>
        <v>-2052.6324729228259</v>
      </c>
      <c r="M317" s="164">
        <f t="shared" si="209"/>
        <v>-1866.0295208389325</v>
      </c>
      <c r="N317" s="164">
        <f t="shared" si="209"/>
        <v>-1696.3904734899386</v>
      </c>
      <c r="O317" s="164">
        <f t="shared" si="209"/>
        <v>-1542.1731577181258</v>
      </c>
      <c r="P317" s="164">
        <f t="shared" si="209"/>
        <v>-1401.9755979255688</v>
      </c>
      <c r="Q317" s="164">
        <f t="shared" si="209"/>
        <v>-1274.5232708414262</v>
      </c>
      <c r="R317" s="164">
        <f t="shared" si="209"/>
        <v>-1158.6575189467512</v>
      </c>
      <c r="S317" s="164">
        <f t="shared" si="209"/>
        <v>-1053.325017224319</v>
      </c>
      <c r="T317" s="164">
        <f t="shared" si="209"/>
        <v>-957.56819747665361</v>
      </c>
      <c r="U317" s="164">
        <f t="shared" si="209"/>
        <v>-870.5165431605941</v>
      </c>
      <c r="V317" s="164">
        <f t="shared" si="209"/>
        <v>-791.37867560054008</v>
      </c>
      <c r="W317" s="164">
        <f t="shared" si="209"/>
        <v>-719.43515963685456</v>
      </c>
      <c r="X317" s="164">
        <f t="shared" si="209"/>
        <v>-654.03196330623121</v>
      </c>
      <c r="Y317" s="164">
        <f t="shared" si="209"/>
        <v>-594.57451209657393</v>
      </c>
    </row>
    <row r="318" spans="1:82" s="23" customFormat="1" hidden="1" x14ac:dyDescent="0.35">
      <c r="C318" s="23" t="s">
        <v>108</v>
      </c>
      <c r="E318" s="323">
        <f t="shared" ref="E318:Y318" si="210">E314+E316+E317</f>
        <v>-534325</v>
      </c>
      <c r="F318" s="323">
        <f t="shared" ca="1" si="210"/>
        <v>178008.4141414141</v>
      </c>
      <c r="G318" s="323">
        <f t="shared" ca="1" si="210"/>
        <v>170082.41184573001</v>
      </c>
      <c r="H318" s="323">
        <f t="shared" ca="1" si="210"/>
        <v>162501.65608564983</v>
      </c>
      <c r="I318" s="323">
        <f t="shared" ca="1" si="210"/>
        <v>155251.81986373878</v>
      </c>
      <c r="J318" s="323">
        <f t="shared" ca="1" si="210"/>
        <v>148319.10322545338</v>
      </c>
      <c r="K318" s="323">
        <f t="shared" ca="1" si="210"/>
        <v>141690.22059212538</v>
      </c>
      <c r="L318" s="323">
        <f t="shared" ca="1" si="210"/>
        <v>135352.38764340215</v>
      </c>
      <c r="M318" s="323">
        <f t="shared" ca="1" si="210"/>
        <v>129293.30786292584</v>
      </c>
      <c r="N318" s="323">
        <f t="shared" ca="1" si="210"/>
        <v>123501.15884737641</v>
      </c>
      <c r="O318" s="323">
        <f t="shared" ca="1" si="210"/>
        <v>117964.57846674521</v>
      </c>
      <c r="P318" s="323">
        <f t="shared" ca="1" si="210"/>
        <v>112672.65095269853</v>
      </c>
      <c r="Q318" s="323">
        <f t="shared" ca="1" si="210"/>
        <v>107614.892982027</v>
      </c>
      <c r="R318" s="323">
        <f t="shared" ca="1" si="210"/>
        <v>102781.23981333677</v>
      </c>
      <c r="S318" s="323">
        <f t="shared" ca="1" si="210"/>
        <v>98162.03152722813</v>
      </c>
      <c r="T318" s="323">
        <f t="shared" ca="1" si="210"/>
        <v>93747.999413137062</v>
      </c>
      <c r="U318" s="323">
        <f t="shared" ca="1" si="210"/>
        <v>89530.252539697947</v>
      </c>
      <c r="V318" s="323">
        <f t="shared" ca="1" si="210"/>
        <v>85500.264539855343</v>
      </c>
      <c r="W318" s="323">
        <f t="shared" ca="1" si="210"/>
        <v>81649.860636934667</v>
      </c>
      <c r="X318" s="323">
        <f t="shared" ca="1" si="210"/>
        <v>77971.204933421104</v>
      </c>
      <c r="Y318" s="323">
        <f t="shared" ca="1" si="210"/>
        <v>74456.787980234076</v>
      </c>
    </row>
    <row r="319" spans="1:82" s="23" customFormat="1" hidden="1" x14ac:dyDescent="0.35">
      <c r="C319" s="37" t="s">
        <v>332</v>
      </c>
      <c r="E319" s="323">
        <f>E318</f>
        <v>-534325</v>
      </c>
      <c r="F319" s="323">
        <f t="shared" ref="F319:Y319" ca="1" si="211">E319+F318</f>
        <v>-356316.5858585859</v>
      </c>
      <c r="G319" s="323">
        <f t="shared" ca="1" si="211"/>
        <v>-186234.17401285589</v>
      </c>
      <c r="H319" s="323">
        <f t="shared" ca="1" si="211"/>
        <v>-23732.517927206063</v>
      </c>
      <c r="I319" s="323">
        <f t="shared" ca="1" si="211"/>
        <v>131519.30193653272</v>
      </c>
      <c r="J319" s="323">
        <f t="shared" ca="1" si="211"/>
        <v>279838.40516198613</v>
      </c>
      <c r="K319" s="323">
        <f t="shared" ca="1" si="211"/>
        <v>421528.6257541115</v>
      </c>
      <c r="L319" s="323">
        <f t="shared" ca="1" si="211"/>
        <v>556881.01339751366</v>
      </c>
      <c r="M319" s="323">
        <f t="shared" ca="1" si="211"/>
        <v>686174.32126043946</v>
      </c>
      <c r="N319" s="323">
        <f t="shared" ca="1" si="211"/>
        <v>809675.48010781594</v>
      </c>
      <c r="O319" s="323">
        <f t="shared" ca="1" si="211"/>
        <v>927640.05857456115</v>
      </c>
      <c r="P319" s="323">
        <f t="shared" ca="1" si="211"/>
        <v>1040312.7095272597</v>
      </c>
      <c r="Q319" s="323">
        <f t="shared" ca="1" si="211"/>
        <v>1147927.6025092867</v>
      </c>
      <c r="R319" s="323">
        <f t="shared" ca="1" si="211"/>
        <v>1250708.8423226236</v>
      </c>
      <c r="S319" s="323">
        <f t="shared" ca="1" si="211"/>
        <v>1348870.8738498518</v>
      </c>
      <c r="T319" s="323">
        <f t="shared" ca="1" si="211"/>
        <v>1442618.8732629889</v>
      </c>
      <c r="U319" s="323">
        <f t="shared" ca="1" si="211"/>
        <v>1532149.1258026869</v>
      </c>
      <c r="V319" s="323">
        <f t="shared" ca="1" si="211"/>
        <v>1617649.3903425422</v>
      </c>
      <c r="W319" s="323">
        <f t="shared" ca="1" si="211"/>
        <v>1699299.2509794768</v>
      </c>
      <c r="X319" s="323">
        <f t="shared" ca="1" si="211"/>
        <v>1777270.4559128978</v>
      </c>
      <c r="Y319" s="323">
        <f t="shared" ca="1" si="211"/>
        <v>1851727.2438931318</v>
      </c>
    </row>
    <row r="320" spans="1:82" s="23" customFormat="1" hidden="1" x14ac:dyDescent="0.35"/>
    <row r="321" spans="1:82" s="38" customFormat="1" ht="14" hidden="1" x14ac:dyDescent="0.3">
      <c r="A321" s="37"/>
      <c r="B321" s="37"/>
      <c r="C321" s="37" t="s">
        <v>332</v>
      </c>
      <c r="D321" s="37"/>
      <c r="E321" s="37"/>
      <c r="F321" s="37"/>
      <c r="G321" s="37"/>
      <c r="H321" s="37"/>
      <c r="I321" s="37"/>
      <c r="J321" s="37"/>
      <c r="K321" s="37"/>
      <c r="L321" s="37"/>
      <c r="M321" s="37"/>
      <c r="N321" s="37"/>
      <c r="O321" s="37"/>
      <c r="P321" s="37"/>
      <c r="Q321" s="37"/>
      <c r="R321" s="37"/>
      <c r="S321" s="37"/>
      <c r="T321" s="37"/>
      <c r="U321" s="37"/>
      <c r="V321" s="37"/>
      <c r="W321" s="37"/>
      <c r="X321" s="37"/>
      <c r="Y321" s="37"/>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97"/>
      <c r="AZ321" s="197"/>
      <c r="BA321" s="197"/>
      <c r="BB321" s="197"/>
      <c r="BC321" s="197"/>
      <c r="BD321" s="60"/>
      <c r="BE321" s="60"/>
      <c r="BF321" s="318"/>
      <c r="BG321" s="318"/>
      <c r="BH321" s="318"/>
      <c r="BI321" s="318"/>
      <c r="BJ321" s="318"/>
      <c r="BK321" s="318"/>
      <c r="BL321" s="318"/>
      <c r="BM321" s="318"/>
      <c r="BN321" s="318"/>
      <c r="BO321" s="318"/>
      <c r="BP321" s="318"/>
      <c r="BQ321" s="318"/>
      <c r="BR321" s="318"/>
      <c r="BS321" s="318"/>
      <c r="BT321" s="318"/>
      <c r="BU321" s="318"/>
      <c r="BV321" s="318"/>
      <c r="BW321" s="318"/>
      <c r="BX321" s="318"/>
      <c r="BY321" s="318"/>
      <c r="BZ321" s="318"/>
      <c r="CA321" s="318"/>
      <c r="CB321" s="318"/>
      <c r="CC321" s="318"/>
      <c r="CD321" s="118"/>
    </row>
    <row r="322" spans="1:82" s="23" customFormat="1" hidden="1" x14ac:dyDescent="0.35">
      <c r="C322" s="37" t="s">
        <v>276</v>
      </c>
      <c r="D322" s="37"/>
      <c r="E322" s="37"/>
      <c r="F322" s="37"/>
      <c r="G322" s="37"/>
      <c r="H322" s="37"/>
      <c r="I322" s="37"/>
      <c r="J322" s="37"/>
      <c r="K322" s="37"/>
      <c r="L322" s="37"/>
      <c r="M322" s="37"/>
      <c r="N322" s="37"/>
      <c r="O322" s="37"/>
      <c r="P322" s="37"/>
      <c r="Q322" s="37"/>
      <c r="R322" s="37"/>
      <c r="S322" s="37"/>
      <c r="T322" s="37"/>
      <c r="U322" s="37"/>
      <c r="V322" s="37"/>
      <c r="W322" s="37"/>
      <c r="X322" s="37"/>
      <c r="Y322" s="37"/>
    </row>
    <row r="323" spans="1:82" s="23" customFormat="1" hidden="1" x14ac:dyDescent="0.35">
      <c r="C323" s="167" t="str">
        <f>'Paramètres et Résultats'!$G$202</f>
        <v>Action 6</v>
      </c>
      <c r="D323" s="168"/>
      <c r="E323" s="139">
        <v>0</v>
      </c>
      <c r="F323" s="139">
        <f t="shared" ref="F323:Y323" si="212">E323+1</f>
        <v>1</v>
      </c>
      <c r="G323" s="139">
        <f t="shared" si="212"/>
        <v>2</v>
      </c>
      <c r="H323" s="139">
        <f t="shared" si="212"/>
        <v>3</v>
      </c>
      <c r="I323" s="139">
        <f t="shared" si="212"/>
        <v>4</v>
      </c>
      <c r="J323" s="139">
        <f t="shared" si="212"/>
        <v>5</v>
      </c>
      <c r="K323" s="139">
        <f t="shared" si="212"/>
        <v>6</v>
      </c>
      <c r="L323" s="139">
        <f t="shared" si="212"/>
        <v>7</v>
      </c>
      <c r="M323" s="139">
        <f t="shared" si="212"/>
        <v>8</v>
      </c>
      <c r="N323" s="139">
        <f t="shared" si="212"/>
        <v>9</v>
      </c>
      <c r="O323" s="139">
        <f t="shared" si="212"/>
        <v>10</v>
      </c>
      <c r="P323" s="139">
        <f t="shared" si="212"/>
        <v>11</v>
      </c>
      <c r="Q323" s="139">
        <f t="shared" si="212"/>
        <v>12</v>
      </c>
      <c r="R323" s="139">
        <f t="shared" si="212"/>
        <v>13</v>
      </c>
      <c r="S323" s="139">
        <f t="shared" si="212"/>
        <v>14</v>
      </c>
      <c r="T323" s="139">
        <f t="shared" si="212"/>
        <v>15</v>
      </c>
      <c r="U323" s="139">
        <f t="shared" si="212"/>
        <v>16</v>
      </c>
      <c r="V323" s="139">
        <f t="shared" si="212"/>
        <v>17</v>
      </c>
      <c r="W323" s="139">
        <f t="shared" si="212"/>
        <v>18</v>
      </c>
      <c r="X323" s="139">
        <f t="shared" si="212"/>
        <v>19</v>
      </c>
      <c r="Y323" s="139">
        <f t="shared" si="212"/>
        <v>20</v>
      </c>
    </row>
    <row r="324" spans="1:82" s="23" customFormat="1" hidden="1" x14ac:dyDescent="0.35">
      <c r="C324" s="142" t="s">
        <v>272</v>
      </c>
      <c r="D324" s="144"/>
      <c r="E324" s="166">
        <f>SUMPRODUCT(($C$100:$C$120=$C$323)*$E$100:$E$120)-E325</f>
        <v>-62100</v>
      </c>
      <c r="F324" s="166"/>
      <c r="G324" s="166"/>
      <c r="H324" s="166"/>
      <c r="I324" s="166"/>
      <c r="J324" s="166"/>
      <c r="K324" s="166"/>
      <c r="L324" s="166"/>
      <c r="M324" s="166"/>
      <c r="N324" s="166"/>
      <c r="O324" s="166"/>
      <c r="P324" s="166"/>
      <c r="Q324" s="166"/>
      <c r="R324" s="166"/>
      <c r="S324" s="166"/>
      <c r="T324" s="166"/>
      <c r="U324" s="166"/>
      <c r="V324" s="166"/>
      <c r="W324" s="166"/>
      <c r="X324" s="166"/>
      <c r="Y324" s="166"/>
    </row>
    <row r="325" spans="1:82" s="23" customFormat="1" hidden="1" x14ac:dyDescent="0.35">
      <c r="C325" s="41" t="s">
        <v>323</v>
      </c>
      <c r="D325" s="145"/>
      <c r="E325" s="164">
        <f>-SUMPRODUCT(($C$100:$C$120=$C$323)*$F$100:$F$120)</f>
        <v>0</v>
      </c>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82" s="23" customFormat="1" hidden="1" x14ac:dyDescent="0.35">
      <c r="C326" s="41" t="s">
        <v>333</v>
      </c>
      <c r="D326" s="145"/>
      <c r="E326" s="164"/>
      <c r="F326" s="164">
        <f ca="1">SUMPRODUCT(($C$129:$C$149=$C$323)*F$129:F$149)</f>
        <v>17582.222222222223</v>
      </c>
      <c r="G326" s="164">
        <f t="shared" ref="G326:Y326" ca="1" si="213">SUMPRODUCT(($C$129:$C$149=$C$323)*G$129:G$149)</f>
        <v>18461.333333333336</v>
      </c>
      <c r="H326" s="164">
        <f t="shared" ca="1" si="213"/>
        <v>19384.400000000001</v>
      </c>
      <c r="I326" s="164">
        <f t="shared" ca="1" si="213"/>
        <v>20353.620000000003</v>
      </c>
      <c r="J326" s="164">
        <f t="shared" ca="1" si="213"/>
        <v>21371.301000000003</v>
      </c>
      <c r="K326" s="164">
        <f t="shared" ca="1" si="213"/>
        <v>22439.866050000008</v>
      </c>
      <c r="L326" s="164">
        <f t="shared" ca="1" si="213"/>
        <v>23561.859352500007</v>
      </c>
      <c r="M326" s="164">
        <f t="shared" ca="1" si="213"/>
        <v>24739.952320125009</v>
      </c>
      <c r="N326" s="164">
        <f t="shared" ca="1" si="213"/>
        <v>25976.949936131259</v>
      </c>
      <c r="O326" s="164">
        <f t="shared" ca="1" si="213"/>
        <v>27275.797432937823</v>
      </c>
      <c r="P326" s="164">
        <f t="shared" ca="1" si="213"/>
        <v>28639.587304584715</v>
      </c>
      <c r="Q326" s="164">
        <f t="shared" ca="1" si="213"/>
        <v>30071.56666981395</v>
      </c>
      <c r="R326" s="164">
        <f t="shared" ca="1" si="213"/>
        <v>31575.145003304653</v>
      </c>
      <c r="S326" s="164">
        <f t="shared" ca="1" si="213"/>
        <v>33153.902253469889</v>
      </c>
      <c r="T326" s="164">
        <f t="shared" ca="1" si="213"/>
        <v>34811.597366143382</v>
      </c>
      <c r="U326" s="164">
        <f t="shared" ca="1" si="213"/>
        <v>36552.177234450559</v>
      </c>
      <c r="V326" s="164">
        <f t="shared" ca="1" si="213"/>
        <v>38379.786096173084</v>
      </c>
      <c r="W326" s="164">
        <f t="shared" ca="1" si="213"/>
        <v>40298.775400981744</v>
      </c>
      <c r="X326" s="164">
        <f t="shared" ca="1" si="213"/>
        <v>42313.714171030828</v>
      </c>
      <c r="Y326" s="164">
        <f t="shared" ca="1" si="213"/>
        <v>44429.399879582372</v>
      </c>
    </row>
    <row r="327" spans="1:82" s="23" customFormat="1" hidden="1" x14ac:dyDescent="0.35">
      <c r="C327" s="41" t="s">
        <v>335</v>
      </c>
      <c r="D327" s="145"/>
      <c r="E327" s="164"/>
      <c r="F327" s="164">
        <f>SUMPRODUCT(($C$158:$C$178=$C$323)*F$158:F$178)</f>
        <v>0</v>
      </c>
      <c r="G327" s="164">
        <f t="shared" ref="G327:Y327" si="214">SUMPRODUCT(($C$158:$C$178=$C$323)*G$158:G$178)</f>
        <v>0</v>
      </c>
      <c r="H327" s="164">
        <f t="shared" si="214"/>
        <v>0</v>
      </c>
      <c r="I327" s="164">
        <f t="shared" si="214"/>
        <v>0</v>
      </c>
      <c r="J327" s="164">
        <f t="shared" si="214"/>
        <v>0</v>
      </c>
      <c r="K327" s="164">
        <f t="shared" si="214"/>
        <v>0</v>
      </c>
      <c r="L327" s="164">
        <f t="shared" si="214"/>
        <v>0</v>
      </c>
      <c r="M327" s="164">
        <f t="shared" si="214"/>
        <v>0</v>
      </c>
      <c r="N327" s="164">
        <f t="shared" si="214"/>
        <v>0</v>
      </c>
      <c r="O327" s="164">
        <f t="shared" si="214"/>
        <v>0</v>
      </c>
      <c r="P327" s="164">
        <f t="shared" si="214"/>
        <v>0</v>
      </c>
      <c r="Q327" s="164">
        <f t="shared" si="214"/>
        <v>0</v>
      </c>
      <c r="R327" s="164">
        <f t="shared" si="214"/>
        <v>0</v>
      </c>
      <c r="S327" s="164">
        <f t="shared" si="214"/>
        <v>0</v>
      </c>
      <c r="T327" s="164">
        <f t="shared" si="214"/>
        <v>0</v>
      </c>
      <c r="U327" s="164">
        <f t="shared" si="214"/>
        <v>0</v>
      </c>
      <c r="V327" s="164">
        <f t="shared" si="214"/>
        <v>0</v>
      </c>
      <c r="W327" s="164">
        <f t="shared" si="214"/>
        <v>0</v>
      </c>
      <c r="X327" s="164">
        <f t="shared" si="214"/>
        <v>0</v>
      </c>
      <c r="Y327" s="164">
        <f t="shared" si="214"/>
        <v>0</v>
      </c>
    </row>
    <row r="328" spans="1:82" s="23" customFormat="1" hidden="1" x14ac:dyDescent="0.35">
      <c r="C328" s="23" t="s">
        <v>108</v>
      </c>
      <c r="E328" s="323">
        <f t="shared" ref="E328:Y328" si="215">E324+E326+E327</f>
        <v>-62100</v>
      </c>
      <c r="F328" s="323">
        <f t="shared" ca="1" si="215"/>
        <v>17582.222222222223</v>
      </c>
      <c r="G328" s="323">
        <f t="shared" ca="1" si="215"/>
        <v>18461.333333333336</v>
      </c>
      <c r="H328" s="323">
        <f t="shared" ca="1" si="215"/>
        <v>19384.400000000001</v>
      </c>
      <c r="I328" s="323">
        <f t="shared" ca="1" si="215"/>
        <v>20353.620000000003</v>
      </c>
      <c r="J328" s="323">
        <f t="shared" ca="1" si="215"/>
        <v>21371.301000000003</v>
      </c>
      <c r="K328" s="323">
        <f t="shared" ca="1" si="215"/>
        <v>22439.866050000008</v>
      </c>
      <c r="L328" s="323">
        <f t="shared" ca="1" si="215"/>
        <v>23561.859352500007</v>
      </c>
      <c r="M328" s="323">
        <f t="shared" ca="1" si="215"/>
        <v>24739.952320125009</v>
      </c>
      <c r="N328" s="323">
        <f t="shared" ca="1" si="215"/>
        <v>25976.949936131259</v>
      </c>
      <c r="O328" s="323">
        <f t="shared" ca="1" si="215"/>
        <v>27275.797432937823</v>
      </c>
      <c r="P328" s="323">
        <f t="shared" ca="1" si="215"/>
        <v>28639.587304584715</v>
      </c>
      <c r="Q328" s="323">
        <f t="shared" ca="1" si="215"/>
        <v>30071.56666981395</v>
      </c>
      <c r="R328" s="323">
        <f t="shared" ca="1" si="215"/>
        <v>31575.145003304653</v>
      </c>
      <c r="S328" s="323">
        <f t="shared" ca="1" si="215"/>
        <v>33153.902253469889</v>
      </c>
      <c r="T328" s="323">
        <f t="shared" ca="1" si="215"/>
        <v>34811.597366143382</v>
      </c>
      <c r="U328" s="323">
        <f t="shared" ca="1" si="215"/>
        <v>36552.177234450559</v>
      </c>
      <c r="V328" s="323">
        <f t="shared" ca="1" si="215"/>
        <v>38379.786096173084</v>
      </c>
      <c r="W328" s="323">
        <f t="shared" ca="1" si="215"/>
        <v>40298.775400981744</v>
      </c>
      <c r="X328" s="323">
        <f t="shared" ca="1" si="215"/>
        <v>42313.714171030828</v>
      </c>
      <c r="Y328" s="323">
        <f t="shared" ca="1" si="215"/>
        <v>44429.399879582372</v>
      </c>
    </row>
    <row r="329" spans="1:82" s="23" customFormat="1" hidden="1" x14ac:dyDescent="0.35">
      <c r="C329" s="37" t="s">
        <v>332</v>
      </c>
      <c r="E329" s="323">
        <f>E328</f>
        <v>-62100</v>
      </c>
      <c r="F329" s="323">
        <f t="shared" ref="F329:Y329" ca="1" si="216">E329+F328</f>
        <v>-44517.777777777781</v>
      </c>
      <c r="G329" s="323">
        <f t="shared" ca="1" si="216"/>
        <v>-26056.444444444445</v>
      </c>
      <c r="H329" s="323">
        <f t="shared" ca="1" si="216"/>
        <v>-6672.0444444444438</v>
      </c>
      <c r="I329" s="323">
        <f t="shared" ca="1" si="216"/>
        <v>13681.575555555559</v>
      </c>
      <c r="J329" s="323">
        <f t="shared" ca="1" si="216"/>
        <v>35052.876555555558</v>
      </c>
      <c r="K329" s="323">
        <f t="shared" ca="1" si="216"/>
        <v>57492.74260555557</v>
      </c>
      <c r="L329" s="323">
        <f t="shared" ca="1" si="216"/>
        <v>81054.601958055573</v>
      </c>
      <c r="M329" s="323">
        <f t="shared" ca="1" si="216"/>
        <v>105794.55427818059</v>
      </c>
      <c r="N329" s="323">
        <f t="shared" ca="1" si="216"/>
        <v>131771.50421431183</v>
      </c>
      <c r="O329" s="323">
        <f t="shared" ca="1" si="216"/>
        <v>159047.30164724967</v>
      </c>
      <c r="P329" s="323">
        <f t="shared" ca="1" si="216"/>
        <v>187686.88895183438</v>
      </c>
      <c r="Q329" s="323">
        <f t="shared" ca="1" si="216"/>
        <v>217758.45562164832</v>
      </c>
      <c r="R329" s="323">
        <f t="shared" ca="1" si="216"/>
        <v>249333.60062495296</v>
      </c>
      <c r="S329" s="323">
        <f t="shared" ca="1" si="216"/>
        <v>282487.50287842285</v>
      </c>
      <c r="T329" s="323">
        <f t="shared" ca="1" si="216"/>
        <v>317299.10024456622</v>
      </c>
      <c r="U329" s="323">
        <f t="shared" ca="1" si="216"/>
        <v>353851.2774790168</v>
      </c>
      <c r="V329" s="323">
        <f t="shared" ca="1" si="216"/>
        <v>392231.06357518991</v>
      </c>
      <c r="W329" s="323">
        <f t="shared" ca="1" si="216"/>
        <v>432529.83897617168</v>
      </c>
      <c r="X329" s="323">
        <f t="shared" ca="1" si="216"/>
        <v>474843.55314720253</v>
      </c>
      <c r="Y329" s="323">
        <f t="shared" ca="1" si="216"/>
        <v>519272.95302678493</v>
      </c>
    </row>
    <row r="330" spans="1:82" s="23" customFormat="1" hidden="1" x14ac:dyDescent="0.35"/>
    <row r="331" spans="1:82" s="38" customFormat="1" ht="14" hidden="1" x14ac:dyDescent="0.3">
      <c r="A331" s="37"/>
      <c r="B331" s="37"/>
      <c r="C331" s="37" t="s">
        <v>332</v>
      </c>
      <c r="D331" s="37"/>
      <c r="E331" s="37"/>
      <c r="F331" s="37"/>
      <c r="G331" s="37"/>
      <c r="H331" s="37"/>
      <c r="I331" s="37"/>
      <c r="J331" s="37"/>
      <c r="K331" s="37"/>
      <c r="L331" s="37"/>
      <c r="M331" s="37"/>
      <c r="N331" s="37"/>
      <c r="O331" s="37"/>
      <c r="P331" s="37"/>
      <c r="Q331" s="37"/>
      <c r="R331" s="37"/>
      <c r="S331" s="37"/>
      <c r="T331" s="37"/>
      <c r="U331" s="37"/>
      <c r="V331" s="37"/>
      <c r="W331" s="37"/>
      <c r="X331" s="37"/>
      <c r="Y331" s="37"/>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97"/>
      <c r="AZ331" s="197"/>
      <c r="BA331" s="197"/>
      <c r="BB331" s="197"/>
      <c r="BC331" s="197"/>
      <c r="BD331" s="60"/>
      <c r="BE331" s="60"/>
      <c r="BF331" s="318"/>
      <c r="BG331" s="318"/>
      <c r="BH331" s="318"/>
      <c r="BI331" s="318"/>
      <c r="BJ331" s="318"/>
      <c r="BK331" s="318"/>
      <c r="BL331" s="318"/>
      <c r="BM331" s="318"/>
      <c r="BN331" s="318"/>
      <c r="BO331" s="318"/>
      <c r="BP331" s="318"/>
      <c r="BQ331" s="318"/>
      <c r="BR331" s="318"/>
      <c r="BS331" s="318"/>
      <c r="BT331" s="318"/>
      <c r="BU331" s="318"/>
      <c r="BV331" s="318"/>
      <c r="BW331" s="318"/>
      <c r="BX331" s="318"/>
      <c r="BY331" s="318"/>
      <c r="BZ331" s="318"/>
      <c r="CA331" s="318"/>
      <c r="CB331" s="318"/>
      <c r="CC331" s="318"/>
      <c r="CD331" s="118"/>
    </row>
    <row r="332" spans="1:82" s="23" customFormat="1" hidden="1" x14ac:dyDescent="0.35">
      <c r="C332" s="37" t="s">
        <v>278</v>
      </c>
      <c r="D332" s="37"/>
      <c r="E332" s="37"/>
      <c r="F332" s="37"/>
      <c r="G332" s="37"/>
      <c r="H332" s="37"/>
      <c r="I332" s="37"/>
      <c r="J332" s="37"/>
      <c r="K332" s="37"/>
      <c r="L332" s="37"/>
      <c r="M332" s="37"/>
      <c r="N332" s="37"/>
      <c r="O332" s="37"/>
      <c r="P332" s="37"/>
      <c r="Q332" s="37"/>
      <c r="R332" s="37"/>
      <c r="S332" s="37"/>
      <c r="T332" s="37"/>
      <c r="U332" s="37"/>
      <c r="V332" s="37"/>
      <c r="W332" s="37"/>
      <c r="X332" s="37"/>
      <c r="Y332" s="37"/>
    </row>
    <row r="333" spans="1:82" s="23" customFormat="1" hidden="1" x14ac:dyDescent="0.35">
      <c r="C333" s="167" t="str">
        <f>'Paramètres et Résultats'!$G$202</f>
        <v>Action 6</v>
      </c>
      <c r="D333" s="168"/>
      <c r="E333" s="139">
        <v>0</v>
      </c>
      <c r="F333" s="139">
        <f t="shared" ref="F333:Y333" si="217">E333+1</f>
        <v>1</v>
      </c>
      <c r="G333" s="139">
        <f t="shared" si="217"/>
        <v>2</v>
      </c>
      <c r="H333" s="139">
        <f t="shared" si="217"/>
        <v>3</v>
      </c>
      <c r="I333" s="139">
        <f t="shared" si="217"/>
        <v>4</v>
      </c>
      <c r="J333" s="139">
        <f t="shared" si="217"/>
        <v>5</v>
      </c>
      <c r="K333" s="139">
        <f t="shared" si="217"/>
        <v>6</v>
      </c>
      <c r="L333" s="139">
        <f t="shared" si="217"/>
        <v>7</v>
      </c>
      <c r="M333" s="139">
        <f t="shared" si="217"/>
        <v>8</v>
      </c>
      <c r="N333" s="139">
        <f t="shared" si="217"/>
        <v>9</v>
      </c>
      <c r="O333" s="139">
        <f t="shared" si="217"/>
        <v>10</v>
      </c>
      <c r="P333" s="139">
        <f t="shared" si="217"/>
        <v>11</v>
      </c>
      <c r="Q333" s="139">
        <f t="shared" si="217"/>
        <v>12</v>
      </c>
      <c r="R333" s="139">
        <f t="shared" si="217"/>
        <v>13</v>
      </c>
      <c r="S333" s="139">
        <f t="shared" si="217"/>
        <v>14</v>
      </c>
      <c r="T333" s="139">
        <f t="shared" si="217"/>
        <v>15</v>
      </c>
      <c r="U333" s="139">
        <f t="shared" si="217"/>
        <v>16</v>
      </c>
      <c r="V333" s="139">
        <f t="shared" si="217"/>
        <v>17</v>
      </c>
      <c r="W333" s="139">
        <f t="shared" si="217"/>
        <v>18</v>
      </c>
      <c r="X333" s="139">
        <f t="shared" si="217"/>
        <v>19</v>
      </c>
      <c r="Y333" s="139">
        <f t="shared" si="217"/>
        <v>20</v>
      </c>
    </row>
    <row r="334" spans="1:82" s="23" customFormat="1" hidden="1" x14ac:dyDescent="0.35">
      <c r="C334" s="142" t="s">
        <v>272</v>
      </c>
      <c r="D334" s="144"/>
      <c r="E334" s="166">
        <f>SUMPRODUCT(($C$100:$C$120=$C$323)*$E$100:$E$120)-E325</f>
        <v>-62100</v>
      </c>
      <c r="F334" s="166"/>
      <c r="G334" s="166"/>
      <c r="H334" s="166"/>
      <c r="I334" s="166"/>
      <c r="J334" s="166"/>
      <c r="K334" s="166"/>
      <c r="L334" s="166"/>
      <c r="M334" s="166"/>
      <c r="N334" s="166"/>
      <c r="O334" s="166"/>
      <c r="P334" s="166"/>
      <c r="Q334" s="166"/>
      <c r="R334" s="166"/>
      <c r="S334" s="166"/>
      <c r="T334" s="166"/>
      <c r="U334" s="166"/>
      <c r="V334" s="166"/>
      <c r="W334" s="166"/>
      <c r="X334" s="166"/>
      <c r="Y334" s="166"/>
    </row>
    <row r="335" spans="1:82" s="23" customFormat="1" hidden="1" x14ac:dyDescent="0.35">
      <c r="C335" s="41" t="s">
        <v>323</v>
      </c>
      <c r="D335" s="145"/>
      <c r="E335" s="164">
        <f>-SUMPRODUCT(($C$100:$C$120=$C$323)*$F$100:$F$120)</f>
        <v>0</v>
      </c>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82" s="23" customFormat="1" hidden="1" x14ac:dyDescent="0.35">
      <c r="C336" s="41" t="s">
        <v>333</v>
      </c>
      <c r="D336" s="145"/>
      <c r="E336" s="164"/>
      <c r="F336" s="164">
        <f ca="1">SUMPRODUCT(($C$129:$C$149=$C$323)*F$129:F$149)*F$95</f>
        <v>15983.838383838383</v>
      </c>
      <c r="G336" s="164">
        <f t="shared" ref="G336:Y336" ca="1" si="218">SUMPRODUCT(($C$129:$C$149=$C$323)*G$129:G$149)*G$95</f>
        <v>15257.300275482094</v>
      </c>
      <c r="H336" s="164">
        <f t="shared" ca="1" si="218"/>
        <v>14563.78662659654</v>
      </c>
      <c r="I336" s="164">
        <f t="shared" ca="1" si="218"/>
        <v>13901.796325387608</v>
      </c>
      <c r="J336" s="164">
        <f t="shared" ca="1" si="218"/>
        <v>13269.896492415442</v>
      </c>
      <c r="K336" s="164">
        <f t="shared" ca="1" si="218"/>
        <v>12666.719379123835</v>
      </c>
      <c r="L336" s="164">
        <f t="shared" ca="1" si="218"/>
        <v>12090.959407345475</v>
      </c>
      <c r="M336" s="164">
        <f t="shared" ca="1" si="218"/>
        <v>11541.370343375227</v>
      </c>
      <c r="N336" s="164">
        <f t="shared" ca="1" si="218"/>
        <v>11016.762600494534</v>
      </c>
      <c r="O336" s="164">
        <f t="shared" ca="1" si="218"/>
        <v>10516.000664108418</v>
      </c>
      <c r="P336" s="164">
        <f t="shared" ca="1" si="218"/>
        <v>10038.000633921671</v>
      </c>
      <c r="Q336" s="164">
        <f t="shared" ca="1" si="218"/>
        <v>9581.7278778343225</v>
      </c>
      <c r="R336" s="164">
        <f t="shared" ca="1" si="218"/>
        <v>9146.1947924782198</v>
      </c>
      <c r="S336" s="164">
        <f t="shared" ca="1" si="218"/>
        <v>8730.4586655473886</v>
      </c>
      <c r="T336" s="164">
        <f t="shared" ca="1" si="218"/>
        <v>8333.6196352952338</v>
      </c>
      <c r="U336" s="164">
        <f t="shared" ca="1" si="218"/>
        <v>7954.8187427818166</v>
      </c>
      <c r="V336" s="164">
        <f t="shared" ca="1" si="218"/>
        <v>7593.2360726553698</v>
      </c>
      <c r="W336" s="164">
        <f t="shared" ca="1" si="218"/>
        <v>7248.0889784437622</v>
      </c>
      <c r="X336" s="164">
        <f t="shared" ca="1" si="218"/>
        <v>6918.630388514498</v>
      </c>
      <c r="Y336" s="164">
        <f t="shared" ca="1" si="218"/>
        <v>6604.1471890365674</v>
      </c>
    </row>
    <row r="337" spans="2:25" s="23" customFormat="1" hidden="1" x14ac:dyDescent="0.35">
      <c r="C337" s="41" t="s">
        <v>335</v>
      </c>
      <c r="D337" s="145"/>
      <c r="E337" s="164"/>
      <c r="F337" s="164">
        <f>SUMPRODUCT(($C$158:$C$178=$C$323)*F$158:F$178)*F$95</f>
        <v>0</v>
      </c>
      <c r="G337" s="164">
        <f t="shared" ref="G337:Y337" si="219">SUMPRODUCT(($C$158:$C$178=$C$323)*G$158:G$178)*G$95</f>
        <v>0</v>
      </c>
      <c r="H337" s="164">
        <f t="shared" si="219"/>
        <v>0</v>
      </c>
      <c r="I337" s="164">
        <f t="shared" si="219"/>
        <v>0</v>
      </c>
      <c r="J337" s="164">
        <f t="shared" si="219"/>
        <v>0</v>
      </c>
      <c r="K337" s="164">
        <f t="shared" si="219"/>
        <v>0</v>
      </c>
      <c r="L337" s="164">
        <f t="shared" si="219"/>
        <v>0</v>
      </c>
      <c r="M337" s="164">
        <f t="shared" si="219"/>
        <v>0</v>
      </c>
      <c r="N337" s="164">
        <f t="shared" si="219"/>
        <v>0</v>
      </c>
      <c r="O337" s="164">
        <f t="shared" si="219"/>
        <v>0</v>
      </c>
      <c r="P337" s="164">
        <f t="shared" si="219"/>
        <v>0</v>
      </c>
      <c r="Q337" s="164">
        <f t="shared" si="219"/>
        <v>0</v>
      </c>
      <c r="R337" s="164">
        <f t="shared" si="219"/>
        <v>0</v>
      </c>
      <c r="S337" s="164">
        <f t="shared" si="219"/>
        <v>0</v>
      </c>
      <c r="T337" s="164">
        <f t="shared" si="219"/>
        <v>0</v>
      </c>
      <c r="U337" s="164">
        <f t="shared" si="219"/>
        <v>0</v>
      </c>
      <c r="V337" s="164">
        <f t="shared" si="219"/>
        <v>0</v>
      </c>
      <c r="W337" s="164">
        <f t="shared" si="219"/>
        <v>0</v>
      </c>
      <c r="X337" s="164">
        <f t="shared" si="219"/>
        <v>0</v>
      </c>
      <c r="Y337" s="164">
        <f t="shared" si="219"/>
        <v>0</v>
      </c>
    </row>
    <row r="338" spans="2:25" s="23" customFormat="1" hidden="1" x14ac:dyDescent="0.35">
      <c r="C338" s="23" t="s">
        <v>108</v>
      </c>
      <c r="E338" s="323">
        <f>E334+E336+E337</f>
        <v>-62100</v>
      </c>
      <c r="F338" s="323">
        <f ca="1">F334+F336+F337</f>
        <v>15983.838383838383</v>
      </c>
      <c r="G338" s="323">
        <f t="shared" ref="G338:Y338" ca="1" si="220">G334+G336+G337</f>
        <v>15257.300275482094</v>
      </c>
      <c r="H338" s="323">
        <f t="shared" ca="1" si="220"/>
        <v>14563.78662659654</v>
      </c>
      <c r="I338" s="323">
        <f t="shared" ca="1" si="220"/>
        <v>13901.796325387608</v>
      </c>
      <c r="J338" s="323">
        <f t="shared" ca="1" si="220"/>
        <v>13269.896492415442</v>
      </c>
      <c r="K338" s="323">
        <f t="shared" ca="1" si="220"/>
        <v>12666.719379123835</v>
      </c>
      <c r="L338" s="323">
        <f t="shared" ca="1" si="220"/>
        <v>12090.959407345475</v>
      </c>
      <c r="M338" s="323">
        <f t="shared" ca="1" si="220"/>
        <v>11541.370343375227</v>
      </c>
      <c r="N338" s="323">
        <f t="shared" ca="1" si="220"/>
        <v>11016.762600494534</v>
      </c>
      <c r="O338" s="323">
        <f t="shared" ca="1" si="220"/>
        <v>10516.000664108418</v>
      </c>
      <c r="P338" s="323">
        <f t="shared" ca="1" si="220"/>
        <v>10038.000633921671</v>
      </c>
      <c r="Q338" s="323">
        <f t="shared" ca="1" si="220"/>
        <v>9581.7278778343225</v>
      </c>
      <c r="R338" s="323">
        <f t="shared" ca="1" si="220"/>
        <v>9146.1947924782198</v>
      </c>
      <c r="S338" s="323">
        <f t="shared" ca="1" si="220"/>
        <v>8730.4586655473886</v>
      </c>
      <c r="T338" s="323">
        <f t="shared" ca="1" si="220"/>
        <v>8333.6196352952338</v>
      </c>
      <c r="U338" s="323">
        <f t="shared" ca="1" si="220"/>
        <v>7954.8187427818166</v>
      </c>
      <c r="V338" s="323">
        <f t="shared" ca="1" si="220"/>
        <v>7593.2360726553698</v>
      </c>
      <c r="W338" s="323">
        <f t="shared" ca="1" si="220"/>
        <v>7248.0889784437622</v>
      </c>
      <c r="X338" s="323">
        <f t="shared" ca="1" si="220"/>
        <v>6918.630388514498</v>
      </c>
      <c r="Y338" s="323">
        <f t="shared" ca="1" si="220"/>
        <v>6604.1471890365674</v>
      </c>
    </row>
    <row r="339" spans="2:25" s="23" customFormat="1" hidden="1" x14ac:dyDescent="0.35">
      <c r="C339" s="37" t="s">
        <v>332</v>
      </c>
      <c r="E339" s="323">
        <f>E338</f>
        <v>-62100</v>
      </c>
      <c r="F339" s="323">
        <f ca="1">E339+F338</f>
        <v>-46116.161616161618</v>
      </c>
      <c r="G339" s="323">
        <f t="shared" ref="G339:Y339" ca="1" si="221">F339+G338</f>
        <v>-30858.861340679527</v>
      </c>
      <c r="H339" s="323">
        <f t="shared" ca="1" si="221"/>
        <v>-16295.074714082986</v>
      </c>
      <c r="I339" s="323">
        <f t="shared" ca="1" si="221"/>
        <v>-2393.2783886953785</v>
      </c>
      <c r="J339" s="323">
        <f t="shared" ca="1" si="221"/>
        <v>10876.618103720064</v>
      </c>
      <c r="K339" s="323">
        <f t="shared" ca="1" si="221"/>
        <v>23543.337482843897</v>
      </c>
      <c r="L339" s="323">
        <f t="shared" ca="1" si="221"/>
        <v>35634.296890189376</v>
      </c>
      <c r="M339" s="323">
        <f t="shared" ca="1" si="221"/>
        <v>47175.6672335646</v>
      </c>
      <c r="N339" s="323">
        <f t="shared" ca="1" si="221"/>
        <v>58192.429834059134</v>
      </c>
      <c r="O339" s="323">
        <f t="shared" ca="1" si="221"/>
        <v>68708.430498167552</v>
      </c>
      <c r="P339" s="323">
        <f t="shared" ca="1" si="221"/>
        <v>78746.43113208923</v>
      </c>
      <c r="Q339" s="323">
        <f t="shared" ca="1" si="221"/>
        <v>88328.159009923547</v>
      </c>
      <c r="R339" s="323">
        <f t="shared" ca="1" si="221"/>
        <v>97474.353802401762</v>
      </c>
      <c r="S339" s="323">
        <f t="shared" ca="1" si="221"/>
        <v>106204.81246794914</v>
      </c>
      <c r="T339" s="323">
        <f t="shared" ca="1" si="221"/>
        <v>114538.43210324438</v>
      </c>
      <c r="U339" s="323">
        <f t="shared" ca="1" si="221"/>
        <v>122493.2508460262</v>
      </c>
      <c r="V339" s="323">
        <f t="shared" ca="1" si="221"/>
        <v>130086.48691868158</v>
      </c>
      <c r="W339" s="323">
        <f t="shared" ca="1" si="221"/>
        <v>137334.57589712535</v>
      </c>
      <c r="X339" s="323">
        <f t="shared" ca="1" si="221"/>
        <v>144253.20628563984</v>
      </c>
      <c r="Y339" s="323">
        <f t="shared" ca="1" si="221"/>
        <v>150857.35347467641</v>
      </c>
    </row>
    <row r="340" spans="2:25" s="23" customFormat="1" hidden="1" x14ac:dyDescent="0.35"/>
    <row r="341" spans="2:25" hidden="1" x14ac:dyDescent="0.35">
      <c r="C341" s="23"/>
    </row>
    <row r="342" spans="2:25" hidden="1" x14ac:dyDescent="0.35"/>
    <row r="343" spans="2:25" ht="56" hidden="1" x14ac:dyDescent="0.35">
      <c r="C343" s="366"/>
      <c r="D343" s="113"/>
      <c r="E343" s="371" t="s">
        <v>240</v>
      </c>
      <c r="F343" s="371" t="str">
        <f>"VAN (valeur actualisée nette) sur "&amp;Y43+1&amp;" ans"</f>
        <v>VAN (valeur actualisée nette) sur 1 ans</v>
      </c>
      <c r="G343" s="371" t="s">
        <v>155</v>
      </c>
      <c r="H343" s="371" t="s">
        <v>154</v>
      </c>
      <c r="I343" s="371" t="s">
        <v>343</v>
      </c>
      <c r="J343" s="371" t="s">
        <v>364</v>
      </c>
      <c r="K343" s="371" t="s">
        <v>238</v>
      </c>
      <c r="L343" s="371" t="s">
        <v>153</v>
      </c>
    </row>
    <row r="344" spans="2:25" hidden="1" x14ac:dyDescent="0.35">
      <c r="B344">
        <f t="shared" ref="B344:B363" si="222">IF(AND(C7="",F7=""),0,1)</f>
        <v>1</v>
      </c>
      <c r="C344">
        <f>IF(B344=1,ROW(B344)-ROW($B$344)+1,0)</f>
        <v>1</v>
      </c>
      <c r="D344" s="366" t="s">
        <v>113</v>
      </c>
      <c r="E344" s="228">
        <f t="shared" ref="E344:E353" ca="1" si="223">H344/$H$354</f>
        <v>0.15583053611727446</v>
      </c>
      <c r="F344" s="228">
        <f t="shared" ref="F344:F363" ca="1" si="224">IFERROR(K344/$K$364,NA())</f>
        <v>1</v>
      </c>
      <c r="G344" s="228">
        <f t="shared" ref="G344:G353" si="225">L344/$L$354</f>
        <v>12.630385487528345</v>
      </c>
      <c r="H344" s="38">
        <f t="shared" ref="H344:H353" ca="1" si="226">IF(ISERROR(N7/Y7),0,N7/Y7)</f>
        <v>0.91301111111111111</v>
      </c>
      <c r="I344" s="111">
        <f t="shared" ref="I344:I363" ca="1" si="227">IF(ISNUMBER(U7),U7,IF(U7="Non Applicable","N",NA()))</f>
        <v>0.90631532776064461</v>
      </c>
      <c r="J344" s="111">
        <f t="shared" ref="J344:J355" ca="1" si="228">IF(ISNUMBER(I344),I344,NA())</f>
        <v>0.90631532776064461</v>
      </c>
      <c r="K344" s="367">
        <f t="shared" ref="K344:K363" ca="1" si="229">Q7</f>
        <v>477382.67500501999</v>
      </c>
      <c r="L344" s="368">
        <f t="shared" ref="L344:L363" si="230">O7</f>
        <v>111.4</v>
      </c>
    </row>
    <row r="345" spans="2:25" hidden="1" x14ac:dyDescent="0.35">
      <c r="B345" s="23">
        <f t="shared" si="222"/>
        <v>1</v>
      </c>
      <c r="C345" s="23">
        <f t="shared" ref="C345:C363" si="231">IF(B345=1,ROW(B345)-ROW($B$344)+1,0)</f>
        <v>2</v>
      </c>
      <c r="D345" s="366" t="s">
        <v>114</v>
      </c>
      <c r="E345" s="228">
        <f t="shared" ca="1" si="223"/>
        <v>1.9704433497536946E-2</v>
      </c>
      <c r="F345" s="228">
        <f t="shared" ca="1" si="224"/>
        <v>3.6295590611880674E-2</v>
      </c>
      <c r="G345" s="228">
        <f t="shared" si="225"/>
        <v>0.5714285714285714</v>
      </c>
      <c r="H345" s="38">
        <f t="shared" ca="1" si="226"/>
        <v>0.11544827586206896</v>
      </c>
      <c r="I345" s="111">
        <f t="shared" ca="1" si="227"/>
        <v>0.19785122442789382</v>
      </c>
      <c r="J345" s="111">
        <f t="shared" ca="1" si="228"/>
        <v>0.19785122442789382</v>
      </c>
      <c r="K345" s="367">
        <f t="shared" ca="1" si="229"/>
        <v>17326.886137186688</v>
      </c>
      <c r="L345" s="368">
        <f t="shared" si="230"/>
        <v>5.04</v>
      </c>
    </row>
    <row r="346" spans="2:25" hidden="1" x14ac:dyDescent="0.35">
      <c r="B346" s="23">
        <f t="shared" si="222"/>
        <v>1</v>
      </c>
      <c r="C346" s="23">
        <f t="shared" si="231"/>
        <v>3</v>
      </c>
      <c r="D346" s="366" t="s">
        <v>115</v>
      </c>
      <c r="E346" s="228">
        <f t="shared" ca="1" si="223"/>
        <v>2.1861471861471863E-2</v>
      </c>
      <c r="F346" s="228">
        <f t="shared" ca="1" si="224"/>
        <v>9.4066020969202427E-2</v>
      </c>
      <c r="G346" s="228">
        <f t="shared" si="225"/>
        <v>0.96190476190476182</v>
      </c>
      <c r="H346" s="38">
        <f t="shared" ca="1" si="226"/>
        <v>0.12808636363636364</v>
      </c>
      <c r="I346" s="111">
        <f t="shared" ca="1" si="227"/>
        <v>0.21383106621588643</v>
      </c>
      <c r="J346" s="111">
        <f t="shared" ca="1" si="228"/>
        <v>0.21383106621588643</v>
      </c>
      <c r="K346" s="367">
        <f t="shared" ca="1" si="229"/>
        <v>44905.488717356158</v>
      </c>
      <c r="L346" s="368">
        <f t="shared" si="230"/>
        <v>8.484</v>
      </c>
    </row>
    <row r="347" spans="2:25" hidden="1" x14ac:dyDescent="0.35">
      <c r="B347" s="23">
        <f t="shared" si="222"/>
        <v>1</v>
      </c>
      <c r="C347" s="23">
        <f t="shared" si="231"/>
        <v>4</v>
      </c>
      <c r="D347" s="366" t="s">
        <v>116</v>
      </c>
      <c r="E347" s="228">
        <f t="shared" ca="1" si="223"/>
        <v>3.1746031746031744E-2</v>
      </c>
      <c r="F347" s="228">
        <f t="shared" ca="1" si="224"/>
        <v>0.12990827100611363</v>
      </c>
      <c r="G347" s="228">
        <f t="shared" si="225"/>
        <v>1.0476190476190477</v>
      </c>
      <c r="H347" s="38">
        <f t="shared" ca="1" si="226"/>
        <v>0.186</v>
      </c>
      <c r="I347" s="111">
        <f t="shared" ca="1" si="227"/>
        <v>0.22786653363296416</v>
      </c>
      <c r="J347" s="111">
        <f t="shared" ca="1" si="228"/>
        <v>0.22786653363296416</v>
      </c>
      <c r="K347" s="367">
        <f t="shared" ca="1" si="229"/>
        <v>62015.957918175598</v>
      </c>
      <c r="L347" s="368">
        <f t="shared" si="230"/>
        <v>9.24</v>
      </c>
    </row>
    <row r="348" spans="2:25" hidden="1" x14ac:dyDescent="0.35">
      <c r="B348" s="23">
        <f t="shared" si="222"/>
        <v>1</v>
      </c>
      <c r="C348" s="23">
        <f>IF(B348=1,ROW(B348)-ROW($B$344)+1,0)</f>
        <v>5</v>
      </c>
      <c r="D348" s="366" t="s">
        <v>117</v>
      </c>
      <c r="E348" s="228">
        <f t="shared" ca="1" si="223"/>
        <v>1</v>
      </c>
      <c r="F348" s="228">
        <f t="shared" ca="1" si="224"/>
        <v>0.1930876631823088</v>
      </c>
      <c r="G348" s="228">
        <f t="shared" si="225"/>
        <v>1</v>
      </c>
      <c r="H348" s="38">
        <f t="shared" ca="1" si="226"/>
        <v>5.859</v>
      </c>
      <c r="I348" s="111">
        <f t="shared" ca="1" si="227"/>
        <v>4.9191643280576729</v>
      </c>
      <c r="J348" s="111">
        <f t="shared" ca="1" si="228"/>
        <v>4.9191643280576729</v>
      </c>
      <c r="K348" s="367">
        <f t="shared" ca="1" si="229"/>
        <v>92176.705160438883</v>
      </c>
      <c r="L348" s="368">
        <f t="shared" si="230"/>
        <v>8.82</v>
      </c>
    </row>
    <row r="349" spans="2:25" hidden="1" x14ac:dyDescent="0.35">
      <c r="B349" s="23">
        <f t="shared" si="222"/>
        <v>1</v>
      </c>
      <c r="C349" s="23">
        <f t="shared" si="231"/>
        <v>6</v>
      </c>
      <c r="D349" s="366" t="s">
        <v>118</v>
      </c>
      <c r="E349" s="228">
        <f t="shared" ca="1" si="223"/>
        <v>4.8323531663502464E-2</v>
      </c>
      <c r="F349" s="228">
        <f t="shared" ca="1" si="224"/>
        <v>0.31600927594008299</v>
      </c>
      <c r="G349" s="228">
        <f t="shared" si="225"/>
        <v>9.9943310657596367</v>
      </c>
      <c r="H349" s="38">
        <f t="shared" ca="1" si="226"/>
        <v>0.28312757201646094</v>
      </c>
      <c r="I349" s="111">
        <f t="shared" ca="1" si="227"/>
        <v>0.33064724251011479</v>
      </c>
      <c r="J349" s="111">
        <f t="shared" ca="1" si="228"/>
        <v>0.33064724251011479</v>
      </c>
      <c r="K349" s="367">
        <f t="shared" ca="1" si="229"/>
        <v>150857.35347467632</v>
      </c>
      <c r="L349" s="368">
        <f t="shared" si="230"/>
        <v>88.15</v>
      </c>
    </row>
    <row r="350" spans="2:25" hidden="1" x14ac:dyDescent="0.35">
      <c r="B350" s="23">
        <f t="shared" si="222"/>
        <v>1</v>
      </c>
      <c r="C350" s="23">
        <f t="shared" si="231"/>
        <v>7</v>
      </c>
      <c r="D350" s="366" t="s">
        <v>123</v>
      </c>
      <c r="E350" s="228">
        <f t="shared" ca="1" si="223"/>
        <v>8.3745804175911695E-2</v>
      </c>
      <c r="F350" s="228">
        <f t="shared" ca="1" si="224"/>
        <v>0.51771840179047379</v>
      </c>
      <c r="G350" s="228">
        <f t="shared" si="225"/>
        <v>13.945578231292517</v>
      </c>
      <c r="H350" s="38">
        <f t="shared" ca="1" si="226"/>
        <v>0.49066666666666664</v>
      </c>
      <c r="I350" s="111">
        <f t="shared" ca="1" si="227"/>
        <v>0.54043668379525567</v>
      </c>
      <c r="J350" s="111">
        <f t="shared" ca="1" si="228"/>
        <v>0.54043668379525567</v>
      </c>
      <c r="K350" s="367">
        <f t="shared" ca="1" si="229"/>
        <v>247149.79554606014</v>
      </c>
      <c r="L350" s="368">
        <f t="shared" si="230"/>
        <v>123</v>
      </c>
    </row>
    <row r="351" spans="2:25" hidden="1" x14ac:dyDescent="0.35">
      <c r="B351" s="23">
        <f t="shared" si="222"/>
        <v>1</v>
      </c>
      <c r="C351" s="23">
        <f t="shared" si="231"/>
        <v>8</v>
      </c>
      <c r="D351" s="366" t="s">
        <v>124</v>
      </c>
      <c r="E351" s="228">
        <f t="shared" ca="1" si="223"/>
        <v>0.48193340138968049</v>
      </c>
      <c r="F351" s="228">
        <f t="shared" ca="1" si="224"/>
        <v>0.36859606453302124</v>
      </c>
      <c r="G351" s="228">
        <f t="shared" si="225"/>
        <v>8.5068027210884356</v>
      </c>
      <c r="H351" s="38">
        <f t="shared" ca="1" si="226"/>
        <v>2.823647798742138</v>
      </c>
      <c r="I351" s="111">
        <f t="shared" ca="1" si="227"/>
        <v>3.7405877517013675</v>
      </c>
      <c r="J351" s="111">
        <f t="shared" ca="1" si="228"/>
        <v>3.7405877517013675</v>
      </c>
      <c r="K351" s="367">
        <f t="shared" ca="1" si="229"/>
        <v>175961.37528309666</v>
      </c>
      <c r="L351" s="368">
        <f t="shared" si="230"/>
        <v>75.03</v>
      </c>
    </row>
    <row r="352" spans="2:25" hidden="1" x14ac:dyDescent="0.35">
      <c r="B352" s="23">
        <f t="shared" si="222"/>
        <v>1</v>
      </c>
      <c r="C352" s="23">
        <f t="shared" si="231"/>
        <v>9</v>
      </c>
      <c r="D352" s="366" t="s">
        <v>125</v>
      </c>
      <c r="E352" s="228">
        <f t="shared" ca="1" si="223"/>
        <v>7.5156490927100236E-2</v>
      </c>
      <c r="F352" s="228">
        <f t="shared" ca="1" si="224"/>
        <v>0.59003976519977674</v>
      </c>
      <c r="G352" s="228">
        <f t="shared" si="225"/>
        <v>16.269841269841269</v>
      </c>
      <c r="H352" s="38">
        <f t="shared" ca="1" si="226"/>
        <v>0.44034188034188027</v>
      </c>
      <c r="I352" s="111">
        <f t="shared" ca="1" si="227"/>
        <v>0.48993990358473383</v>
      </c>
      <c r="J352" s="111">
        <f t="shared" ca="1" si="228"/>
        <v>0.48993990358473383</v>
      </c>
      <c r="K352" s="367">
        <f t="shared" ca="1" si="229"/>
        <v>281674.76147040335</v>
      </c>
      <c r="L352" s="368">
        <f t="shared" si="230"/>
        <v>143.5</v>
      </c>
    </row>
    <row r="353" spans="2:12" hidden="1" x14ac:dyDescent="0.35">
      <c r="B353" s="23">
        <f t="shared" si="222"/>
        <v>1</v>
      </c>
      <c r="C353" s="23">
        <f t="shared" si="231"/>
        <v>10</v>
      </c>
      <c r="D353" s="366" t="s">
        <v>126</v>
      </c>
      <c r="E353" s="228">
        <f t="shared" ca="1" si="223"/>
        <v>0.2857142857142857</v>
      </c>
      <c r="F353" s="228">
        <f t="shared" ca="1" si="224"/>
        <v>0.19297173216671473</v>
      </c>
      <c r="G353" s="228">
        <f t="shared" si="225"/>
        <v>0.95238095238095244</v>
      </c>
      <c r="H353" s="38">
        <f t="shared" ca="1" si="226"/>
        <v>1.6739999999999999</v>
      </c>
      <c r="I353" s="111">
        <f t="shared" ca="1" si="227"/>
        <v>1.6270729851766443</v>
      </c>
      <c r="J353" s="111">
        <f t="shared" ca="1" si="228"/>
        <v>1.6270729851766443</v>
      </c>
      <c r="K353" s="367">
        <f t="shared" ca="1" si="229"/>
        <v>92121.36170209854</v>
      </c>
      <c r="L353" s="368">
        <f t="shared" si="230"/>
        <v>8.4</v>
      </c>
    </row>
    <row r="354" spans="2:12" hidden="1" x14ac:dyDescent="0.35">
      <c r="B354" s="23">
        <f t="shared" si="222"/>
        <v>1</v>
      </c>
      <c r="C354" s="23">
        <f t="shared" si="231"/>
        <v>11</v>
      </c>
      <c r="D354" s="366" t="s">
        <v>284</v>
      </c>
      <c r="E354" s="38"/>
      <c r="F354" s="228">
        <f t="shared" ca="1" si="224"/>
        <v>3.654730607869932E-2</v>
      </c>
      <c r="G354" s="38"/>
      <c r="H354" s="38">
        <f ca="1">MAX(H344:H353)</f>
        <v>5.859</v>
      </c>
      <c r="I354" s="111">
        <f t="shared" ca="1" si="227"/>
        <v>0.13728391429335618</v>
      </c>
      <c r="J354" s="111">
        <f t="shared" ca="1" si="228"/>
        <v>0.13728391429335618</v>
      </c>
      <c r="K354" s="367">
        <f t="shared" ca="1" si="229"/>
        <v>17447.050740076709</v>
      </c>
      <c r="L354" s="368">
        <f t="shared" si="230"/>
        <v>8.82</v>
      </c>
    </row>
    <row r="355" spans="2:12" hidden="1" x14ac:dyDescent="0.35">
      <c r="B355" s="23">
        <f t="shared" si="222"/>
        <v>1</v>
      </c>
      <c r="C355" s="23">
        <f t="shared" si="231"/>
        <v>12</v>
      </c>
      <c r="D355" s="366" t="s">
        <v>285</v>
      </c>
      <c r="F355" s="228">
        <f t="shared" ca="1" si="224"/>
        <v>0.27419114336056916</v>
      </c>
      <c r="I355" s="111">
        <f t="shared" ca="1" si="227"/>
        <v>0.25864040504917196</v>
      </c>
      <c r="J355" s="111">
        <f t="shared" ca="1" si="228"/>
        <v>0.25864040504917196</v>
      </c>
      <c r="K355" s="367">
        <f t="shared" ca="1" si="229"/>
        <v>130894.10148015342</v>
      </c>
      <c r="L355" s="368">
        <f t="shared" si="230"/>
        <v>17.64</v>
      </c>
    </row>
    <row r="356" spans="2:12" hidden="1" x14ac:dyDescent="0.35">
      <c r="B356" s="23">
        <f t="shared" si="222"/>
        <v>1</v>
      </c>
      <c r="C356" s="23">
        <f t="shared" si="231"/>
        <v>13</v>
      </c>
      <c r="D356" s="366" t="s">
        <v>286</v>
      </c>
      <c r="F356" s="228">
        <f t="shared" ca="1" si="224"/>
        <v>5.7058483025389233E-2</v>
      </c>
      <c r="I356" s="111" t="str">
        <f t="shared" ca="1" si="227"/>
        <v>N</v>
      </c>
      <c r="J356" s="111" t="e">
        <f ca="1">IF(ISNUMBER(I356),I356,NA())</f>
        <v>#N/A</v>
      </c>
      <c r="K356" s="367">
        <f t="shared" ca="1" si="229"/>
        <v>27238.731258388838</v>
      </c>
      <c r="L356" s="368">
        <f t="shared" si="230"/>
        <v>11.275</v>
      </c>
    </row>
    <row r="357" spans="2:12" hidden="1" x14ac:dyDescent="0.35">
      <c r="B357" s="23">
        <f t="shared" si="222"/>
        <v>0</v>
      </c>
      <c r="C357" s="23">
        <f t="shared" si="231"/>
        <v>0</v>
      </c>
      <c r="D357" s="366" t="s">
        <v>287</v>
      </c>
      <c r="F357" s="228" t="e">
        <f t="shared" ca="1" si="224"/>
        <v>#N/A</v>
      </c>
      <c r="I357" s="111" t="e">
        <f t="shared" ca="1" si="227"/>
        <v>#N/A</v>
      </c>
      <c r="J357" s="111" t="e">
        <f t="shared" ref="J357:J363" ca="1" si="232">IF(ISNUMBER(I357),I357,NA())</f>
        <v>#N/A</v>
      </c>
      <c r="K357" s="367" t="str">
        <f t="shared" ca="1" si="229"/>
        <v/>
      </c>
      <c r="L357" s="368" t="str">
        <f t="shared" si="230"/>
        <v/>
      </c>
    </row>
    <row r="358" spans="2:12" hidden="1" x14ac:dyDescent="0.35">
      <c r="B358" s="23">
        <f t="shared" si="222"/>
        <v>0</v>
      </c>
      <c r="C358" s="23">
        <f t="shared" si="231"/>
        <v>0</v>
      </c>
      <c r="D358" s="366" t="s">
        <v>288</v>
      </c>
      <c r="F358" s="228" t="e">
        <f t="shared" ca="1" si="224"/>
        <v>#N/A</v>
      </c>
      <c r="I358" s="111" t="e">
        <f t="shared" ca="1" si="227"/>
        <v>#N/A</v>
      </c>
      <c r="J358" s="111" t="e">
        <f t="shared" ca="1" si="232"/>
        <v>#N/A</v>
      </c>
      <c r="K358" s="367" t="str">
        <f t="shared" ca="1" si="229"/>
        <v/>
      </c>
      <c r="L358" s="368" t="str">
        <f t="shared" si="230"/>
        <v/>
      </c>
    </row>
    <row r="359" spans="2:12" hidden="1" x14ac:dyDescent="0.35">
      <c r="B359" s="23">
        <f t="shared" si="222"/>
        <v>0</v>
      </c>
      <c r="C359" s="23">
        <f t="shared" si="231"/>
        <v>0</v>
      </c>
      <c r="D359" s="366" t="s">
        <v>289</v>
      </c>
      <c r="F359" s="228" t="e">
        <f t="shared" ca="1" si="224"/>
        <v>#N/A</v>
      </c>
      <c r="I359" s="111" t="e">
        <f t="shared" ca="1" si="227"/>
        <v>#N/A</v>
      </c>
      <c r="J359" s="111" t="e">
        <f t="shared" ca="1" si="232"/>
        <v>#N/A</v>
      </c>
      <c r="K359" s="367" t="str">
        <f t="shared" ca="1" si="229"/>
        <v/>
      </c>
      <c r="L359" s="368" t="str">
        <f t="shared" si="230"/>
        <v/>
      </c>
    </row>
    <row r="360" spans="2:12" hidden="1" x14ac:dyDescent="0.35">
      <c r="B360" s="23">
        <f t="shared" si="222"/>
        <v>0</v>
      </c>
      <c r="C360" s="23">
        <f t="shared" si="231"/>
        <v>0</v>
      </c>
      <c r="D360" s="366" t="s">
        <v>290</v>
      </c>
      <c r="F360" s="228" t="e">
        <f t="shared" ca="1" si="224"/>
        <v>#N/A</v>
      </c>
      <c r="I360" s="111" t="e">
        <f t="shared" ca="1" si="227"/>
        <v>#N/A</v>
      </c>
      <c r="J360" s="111" t="e">
        <f t="shared" ca="1" si="232"/>
        <v>#N/A</v>
      </c>
      <c r="K360" s="367" t="str">
        <f t="shared" ca="1" si="229"/>
        <v/>
      </c>
      <c r="L360" s="368" t="str">
        <f t="shared" si="230"/>
        <v/>
      </c>
    </row>
    <row r="361" spans="2:12" hidden="1" x14ac:dyDescent="0.35">
      <c r="B361" s="23">
        <f t="shared" si="222"/>
        <v>0</v>
      </c>
      <c r="C361" s="23">
        <f t="shared" si="231"/>
        <v>0</v>
      </c>
      <c r="D361" s="366" t="s">
        <v>291</v>
      </c>
      <c r="F361" s="228" t="e">
        <f t="shared" ca="1" si="224"/>
        <v>#N/A</v>
      </c>
      <c r="I361" s="111" t="e">
        <f t="shared" ca="1" si="227"/>
        <v>#N/A</v>
      </c>
      <c r="J361" s="111" t="e">
        <f t="shared" ca="1" si="232"/>
        <v>#N/A</v>
      </c>
      <c r="K361" s="367" t="str">
        <f t="shared" ca="1" si="229"/>
        <v/>
      </c>
      <c r="L361" s="368" t="str">
        <f t="shared" si="230"/>
        <v/>
      </c>
    </row>
    <row r="362" spans="2:12" hidden="1" x14ac:dyDescent="0.35">
      <c r="B362" s="23">
        <f t="shared" si="222"/>
        <v>0</v>
      </c>
      <c r="C362" s="23">
        <f t="shared" si="231"/>
        <v>0</v>
      </c>
      <c r="D362" s="366" t="s">
        <v>292</v>
      </c>
      <c r="F362" s="228" t="e">
        <f t="shared" ca="1" si="224"/>
        <v>#N/A</v>
      </c>
      <c r="I362" s="111" t="e">
        <f t="shared" ca="1" si="227"/>
        <v>#N/A</v>
      </c>
      <c r="J362" s="111" t="e">
        <f t="shared" ca="1" si="232"/>
        <v>#N/A</v>
      </c>
      <c r="K362" s="367" t="str">
        <f t="shared" ca="1" si="229"/>
        <v/>
      </c>
      <c r="L362" s="368" t="str">
        <f t="shared" si="230"/>
        <v/>
      </c>
    </row>
    <row r="363" spans="2:12" hidden="1" x14ac:dyDescent="0.35">
      <c r="B363" s="23">
        <f t="shared" si="222"/>
        <v>0</v>
      </c>
      <c r="C363" s="23">
        <f t="shared" si="231"/>
        <v>0</v>
      </c>
      <c r="D363" s="366" t="s">
        <v>293</v>
      </c>
      <c r="F363" s="228" t="e">
        <f t="shared" ca="1" si="224"/>
        <v>#N/A</v>
      </c>
      <c r="I363" s="111" t="e">
        <f t="shared" ca="1" si="227"/>
        <v>#N/A</v>
      </c>
      <c r="J363" s="111" t="e">
        <f t="shared" ca="1" si="232"/>
        <v>#N/A</v>
      </c>
      <c r="K363" s="367" t="str">
        <f t="shared" ca="1" si="229"/>
        <v/>
      </c>
      <c r="L363" s="368" t="str">
        <f t="shared" si="230"/>
        <v/>
      </c>
    </row>
    <row r="364" spans="2:12" hidden="1" x14ac:dyDescent="0.35">
      <c r="C364" s="370">
        <f>MAX(C344:C363)</f>
        <v>13</v>
      </c>
      <c r="K364" s="369">
        <f ca="1">MAX(K344:K363)</f>
        <v>477382.67500501999</v>
      </c>
    </row>
    <row r="365" spans="2:12" hidden="1" x14ac:dyDescent="0.35">
      <c r="H365" t="s">
        <v>365</v>
      </c>
      <c r="I365">
        <f t="array" aca="1" ref="I365" ca="1">MAX(IF(ISNA(I344:I363),0,I344:I363))</f>
        <v>4.9191643280576729</v>
      </c>
    </row>
    <row r="366" spans="2:12" hidden="1" x14ac:dyDescent="0.35">
      <c r="H366" s="111" t="s">
        <v>366</v>
      </c>
    </row>
  </sheetData>
  <mergeCells count="10">
    <mergeCell ref="A1:D1"/>
    <mergeCell ref="P3:R3"/>
    <mergeCell ref="G4:H4"/>
    <mergeCell ref="E3:H3"/>
    <mergeCell ref="M3:O3"/>
    <mergeCell ref="D29:I29"/>
    <mergeCell ref="S3:U3"/>
    <mergeCell ref="B3:D3"/>
    <mergeCell ref="I3:L3"/>
    <mergeCell ref="E4:F4"/>
  </mergeCells>
  <conditionalFormatting sqref="G27:G28 G6">
    <cfRule type="expression" dxfId="132" priority="777" stopIfTrue="1">
      <formula>AND(NOT(ISBLANK(F6)),ISBLANK(G6))</formula>
    </cfRule>
  </conditionalFormatting>
  <conditionalFormatting sqref="E27:E28">
    <cfRule type="expression" dxfId="131" priority="785" stopIfTrue="1">
      <formula>AND(NOT(ISBLANK(C27)),ISBLANK(E27))</formula>
    </cfRule>
  </conditionalFormatting>
  <conditionalFormatting sqref="M7:M26">
    <cfRule type="colorScale" priority="269">
      <colorScale>
        <cfvo type="min"/>
        <cfvo type="max"/>
        <color theme="8" tint="0.79998168889431442"/>
        <color theme="7"/>
      </colorScale>
    </cfRule>
  </conditionalFormatting>
  <conditionalFormatting sqref="N7:N26">
    <cfRule type="colorScale" priority="268">
      <colorScale>
        <cfvo type="min"/>
        <cfvo type="max"/>
        <color theme="8" tint="0.79998168889431442"/>
        <color theme="7"/>
      </colorScale>
    </cfRule>
  </conditionalFormatting>
  <conditionalFormatting sqref="O7:O26">
    <cfRule type="colorScale" priority="267">
      <colorScale>
        <cfvo type="min"/>
        <cfvo type="max"/>
        <color theme="8" tint="0.79998168889431442"/>
        <color theme="7"/>
      </colorScale>
    </cfRule>
  </conditionalFormatting>
  <conditionalFormatting sqref="P7:P26">
    <cfRule type="colorScale" priority="266">
      <colorScale>
        <cfvo type="min"/>
        <cfvo type="max"/>
        <color theme="7"/>
        <color rgb="FFFEE1FF"/>
      </colorScale>
    </cfRule>
  </conditionalFormatting>
  <conditionalFormatting sqref="Q7:Q26">
    <cfRule type="colorScale" priority="265">
      <colorScale>
        <cfvo type="min"/>
        <cfvo type="max"/>
        <color rgb="FFFEE1FF"/>
        <color theme="7"/>
      </colorScale>
    </cfRule>
  </conditionalFormatting>
  <conditionalFormatting sqref="R7:R26">
    <cfRule type="colorScale" priority="264">
      <colorScale>
        <cfvo type="min"/>
        <cfvo type="max"/>
        <color rgb="FFFEE1FF"/>
        <color theme="7"/>
      </colorScale>
    </cfRule>
  </conditionalFormatting>
  <conditionalFormatting sqref="S7:S26">
    <cfRule type="colorScale" priority="258">
      <colorScale>
        <cfvo type="min"/>
        <cfvo type="max"/>
        <color theme="7"/>
        <color rgb="FFFEE1FF"/>
      </colorScale>
    </cfRule>
  </conditionalFormatting>
  <conditionalFormatting sqref="T7:T26">
    <cfRule type="colorScale" priority="257">
      <colorScale>
        <cfvo type="min"/>
        <cfvo type="max"/>
        <color rgb="FFFEE1FF"/>
        <color theme="7"/>
      </colorScale>
    </cfRule>
  </conditionalFormatting>
  <conditionalFormatting sqref="U7:U26">
    <cfRule type="colorScale" priority="256">
      <colorScale>
        <cfvo type="min"/>
        <cfvo type="max"/>
        <color rgb="FFFEE1FF"/>
        <color theme="7"/>
      </colorScale>
    </cfRule>
  </conditionalFormatting>
  <conditionalFormatting sqref="H6">
    <cfRule type="expression" dxfId="130" priority="121" stopIfTrue="1">
      <formula>AND(NOT(ISBLANK(G6)),ISBLANK(H6))</formula>
    </cfRule>
  </conditionalFormatting>
  <conditionalFormatting sqref="F24 H24">
    <cfRule type="cellIs" dxfId="129" priority="25" operator="lessThan">
      <formula>0</formula>
    </cfRule>
    <cfRule type="cellIs" dxfId="128" priority="26" operator="greaterThan">
      <formula>0</formula>
    </cfRule>
  </conditionalFormatting>
  <conditionalFormatting sqref="H7:H10 H12:H26">
    <cfRule type="cellIs" dxfId="127" priority="21" operator="lessThan">
      <formula>0</formula>
    </cfRule>
    <cfRule type="cellIs" dxfId="126" priority="22" operator="greaterThan">
      <formula>0</formula>
    </cfRule>
  </conditionalFormatting>
  <conditionalFormatting sqref="I12:I16 I25:I26">
    <cfRule type="cellIs" dxfId="125" priority="19" operator="lessThan">
      <formula>0</formula>
    </cfRule>
    <cfRule type="cellIs" dxfId="124" priority="20" operator="greaterThan">
      <formula>0</formula>
    </cfRule>
  </conditionalFormatting>
  <conditionalFormatting sqref="F7:F10 F12:F26">
    <cfRule type="cellIs" dxfId="123" priority="29" operator="lessThan">
      <formula>0</formula>
    </cfRule>
    <cfRule type="cellIs" dxfId="122" priority="30" operator="greaterThan">
      <formula>0</formula>
    </cfRule>
  </conditionalFormatting>
  <conditionalFormatting sqref="I18:I22">
    <cfRule type="cellIs" dxfId="121" priority="15" operator="lessThan">
      <formula>0</formula>
    </cfRule>
    <cfRule type="cellIs" dxfId="120" priority="16" operator="greaterThan">
      <formula>0</formula>
    </cfRule>
  </conditionalFormatting>
  <conditionalFormatting sqref="I24">
    <cfRule type="cellIs" dxfId="119" priority="11" operator="lessThan">
      <formula>0</formula>
    </cfRule>
    <cfRule type="cellIs" dxfId="118" priority="12" operator="greaterThan">
      <formula>0</formula>
    </cfRule>
  </conditionalFormatting>
  <conditionalFormatting sqref="I7:I10 I12:I26">
    <cfRule type="cellIs" dxfId="117" priority="17" operator="lessThan">
      <formula>0</formula>
    </cfRule>
    <cfRule type="cellIs" dxfId="116" priority="18" operator="greaterThan">
      <formula>0</formula>
    </cfRule>
  </conditionalFormatting>
  <conditionalFormatting sqref="I17">
    <cfRule type="cellIs" dxfId="115" priority="13" operator="lessThan">
      <formula>0</formula>
    </cfRule>
    <cfRule type="cellIs" dxfId="114" priority="14" operator="greaterThan">
      <formula>0</formula>
    </cfRule>
  </conditionalFormatting>
  <conditionalFormatting sqref="I23">
    <cfRule type="cellIs" dxfId="113" priority="9" operator="lessThan">
      <formula>0</formula>
    </cfRule>
    <cfRule type="cellIs" dxfId="112" priority="10" operator="greaterThan">
      <formula>0</formula>
    </cfRule>
  </conditionalFormatting>
  <conditionalFormatting sqref="F23 H23">
    <cfRule type="cellIs" dxfId="111" priority="23" operator="lessThan">
      <formula>0</formula>
    </cfRule>
    <cfRule type="cellIs" dxfId="110" priority="24" operator="greaterThan">
      <formula>0</formula>
    </cfRule>
  </conditionalFormatting>
  <conditionalFormatting sqref="F17:F22 H17:H22 H25:H26 F25:F26">
    <cfRule type="cellIs" dxfId="109" priority="27" operator="lessThan">
      <formula>0</formula>
    </cfRule>
    <cfRule type="cellIs" dxfId="108" priority="28" operator="greaterThan">
      <formula>0</formula>
    </cfRule>
  </conditionalFormatting>
  <conditionalFormatting sqref="H11">
    <cfRule type="cellIs" dxfId="107" priority="5" operator="lessThan">
      <formula>0</formula>
    </cfRule>
    <cfRule type="cellIs" dxfId="106" priority="6" operator="greaterThan">
      <formula>0</formula>
    </cfRule>
  </conditionalFormatting>
  <conditionalFormatting sqref="I11">
    <cfRule type="cellIs" dxfId="105" priority="3" operator="lessThan">
      <formula>0</formula>
    </cfRule>
    <cfRule type="cellIs" dxfId="104" priority="4" operator="greaterThan">
      <formula>0</formula>
    </cfRule>
  </conditionalFormatting>
  <conditionalFormatting sqref="F11">
    <cfRule type="cellIs" dxfId="103" priority="7" operator="lessThan">
      <formula>0</formula>
    </cfRule>
    <cfRule type="cellIs" dxfId="102" priority="8" operator="greaterThan">
      <formula>0</formula>
    </cfRule>
  </conditionalFormatting>
  <conditionalFormatting sqref="I11">
    <cfRule type="cellIs" dxfId="101" priority="1" operator="lessThan">
      <formula>0</formula>
    </cfRule>
    <cfRule type="cellIs" dxfId="100" priority="2" operator="greaterThan">
      <formula>0</formula>
    </cfRule>
  </conditionalFormatting>
  <dataValidations count="2">
    <dataValidation type="list" allowBlank="1" showInputMessage="1" showErrorMessage="1" sqref="D7:D26" xr:uid="{00000000-0002-0000-0200-000000000000}">
      <formula1>IF($C7&lt;&gt;"",choix,"")</formula1>
    </dataValidation>
    <dataValidation type="list" allowBlank="1" showInputMessage="1" showErrorMessage="1" sqref="G7:G26 E7:E26" xr:uid="{00000000-0002-0000-0200-000001000000}">
      <formula1>Type_Energie</formula1>
    </dataValidation>
  </dataValidations>
  <pageMargins left="0.7" right="0.7" top="0.75" bottom="0.75" header="0.3" footer="0.3"/>
  <pageSetup paperSize="9" scale="46" fitToHeight="0" orientation="landscape" r:id="rId1"/>
  <ignoredErrors>
    <ignoredError sqref="AE24:AF24 AI24:AJ24 AL24:AM24 AS24:AT24 AE25:AF25 AI25:AJ25 AL25:AM25 AS25:AT25 AE26:AF26 AI26:AJ26 AL26:AM26 AS26:AT26" evalError="1"/>
  </ignoredErrors>
  <drawing r:id="rId2"/>
  <extLst>
    <ext xmlns:x14="http://schemas.microsoft.com/office/spreadsheetml/2009/9/main" uri="{78C0D931-6437-407d-A8EE-F0AAD7539E65}">
      <x14:conditionalFormattings>
        <x14:conditionalFormatting xmlns:xm="http://schemas.microsoft.com/office/excel/2006/main">
          <x14:cfRule type="containsText" priority="122" operator="containsText" id="{2F7A4C8A-74D8-4117-BAD7-92706476866D}">
            <xm:f>NOT(ISERROR(SEARCH("immédiat",P11)))</xm:f>
            <xm:f>"immédiat"</xm:f>
            <x14:dxf>
              <fill>
                <patternFill>
                  <bgColor rgb="FF92D050"/>
                </patternFill>
              </fill>
            </x14:dxf>
          </x14:cfRule>
          <xm:sqref>P11:U26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6"/>
  </sheetPr>
  <dimension ref="A1:AO80"/>
  <sheetViews>
    <sheetView showGridLines="0" zoomScale="90" zoomScaleNormal="90" workbookViewId="0">
      <selection activeCell="G27" sqref="G27"/>
    </sheetView>
  </sheetViews>
  <sheetFormatPr baseColWidth="10" defaultColWidth="11.453125" defaultRowHeight="14.5" outlineLevelRow="1" x14ac:dyDescent="0.35"/>
  <cols>
    <col min="1" max="1" width="1" style="23" customWidth="1"/>
    <col min="2" max="2" width="3.1796875" style="23" customWidth="1"/>
    <col min="3" max="3" width="49.7265625" style="23" customWidth="1"/>
    <col min="4" max="11" width="13.453125" style="23" customWidth="1"/>
    <col min="12" max="16384" width="11.453125" style="23"/>
  </cols>
  <sheetData>
    <row r="1" spans="1:41" s="38" customFormat="1" ht="49.5" customHeight="1" x14ac:dyDescent="0.3">
      <c r="B1" s="36"/>
      <c r="C1" s="853" t="s">
        <v>384</v>
      </c>
      <c r="D1" s="853"/>
      <c r="E1" s="853"/>
      <c r="F1" s="853"/>
      <c r="G1" s="36"/>
      <c r="H1" s="36"/>
      <c r="I1" s="36"/>
      <c r="J1" s="36"/>
      <c r="K1" s="36"/>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row>
    <row r="2" spans="1:41" s="118" customFormat="1" ht="5.25" customHeight="1" x14ac:dyDescent="0.35">
      <c r="A2" s="44"/>
      <c r="B2" s="45"/>
      <c r="C2" s="119"/>
      <c r="D2" s="119"/>
      <c r="E2" s="119"/>
      <c r="F2" s="119"/>
      <c r="G2" s="119"/>
      <c r="H2" s="119"/>
      <c r="I2" s="119"/>
      <c r="J2" s="119"/>
      <c r="K2" s="119"/>
    </row>
    <row r="3" spans="1:41" s="118" customFormat="1" ht="16.5" customHeight="1" x14ac:dyDescent="0.3">
      <c r="A3" s="158"/>
      <c r="B3" s="842" t="s">
        <v>262</v>
      </c>
      <c r="C3" s="842"/>
      <c r="D3" s="843"/>
      <c r="E3" s="849" t="s">
        <v>268</v>
      </c>
      <c r="F3" s="850"/>
      <c r="G3" s="850"/>
      <c r="H3" s="851"/>
      <c r="I3" s="854" t="s">
        <v>270</v>
      </c>
      <c r="J3" s="855"/>
      <c r="K3" s="855"/>
    </row>
    <row r="4" spans="1:41" s="118" customFormat="1" ht="39" x14ac:dyDescent="0.3">
      <c r="A4" s="121"/>
      <c r="B4" s="132" t="s">
        <v>105</v>
      </c>
      <c r="C4" s="127" t="s">
        <v>127</v>
      </c>
      <c r="D4" s="136" t="s">
        <v>265</v>
      </c>
      <c r="E4" s="844" t="s">
        <v>150</v>
      </c>
      <c r="F4" s="845"/>
      <c r="G4" s="845" t="s">
        <v>294</v>
      </c>
      <c r="H4" s="848"/>
      <c r="I4" s="379" t="s">
        <v>317</v>
      </c>
      <c r="J4" s="458" t="s">
        <v>322</v>
      </c>
      <c r="K4" s="380" t="s">
        <v>295</v>
      </c>
    </row>
    <row r="5" spans="1:41" s="118" customFormat="1" thickBot="1" x14ac:dyDescent="0.35">
      <c r="A5" s="153"/>
      <c r="B5" s="260"/>
      <c r="C5" s="374" t="s">
        <v>132</v>
      </c>
      <c r="D5" s="375"/>
      <c r="E5" s="376" t="s">
        <v>150</v>
      </c>
      <c r="F5" s="377" t="s">
        <v>107</v>
      </c>
      <c r="G5" s="377" t="s">
        <v>151</v>
      </c>
      <c r="H5" s="378" t="s">
        <v>107</v>
      </c>
      <c r="I5" s="382" t="s">
        <v>158</v>
      </c>
      <c r="J5" s="383" t="s">
        <v>2</v>
      </c>
      <c r="K5" s="383" t="s">
        <v>137</v>
      </c>
    </row>
    <row r="6" spans="1:41" s="118" customFormat="1" ht="14" x14ac:dyDescent="0.3">
      <c r="A6" s="153"/>
      <c r="B6" s="372">
        <v>1</v>
      </c>
      <c r="C6" s="542" t="s">
        <v>355</v>
      </c>
      <c r="D6" s="543" t="s">
        <v>281</v>
      </c>
      <c r="E6" s="544" t="s">
        <v>57</v>
      </c>
      <c r="F6" s="545">
        <v>350</v>
      </c>
      <c r="G6" s="544" t="s">
        <v>58</v>
      </c>
      <c r="H6" s="546">
        <v>400</v>
      </c>
      <c r="I6" s="545">
        <v>-3000</v>
      </c>
      <c r="J6" s="547">
        <v>50000</v>
      </c>
      <c r="K6" s="548"/>
    </row>
    <row r="7" spans="1:41" s="118" customFormat="1" ht="14" x14ac:dyDescent="0.3">
      <c r="A7" s="153"/>
      <c r="B7" s="373">
        <v>2</v>
      </c>
      <c r="C7" s="549" t="s">
        <v>357</v>
      </c>
      <c r="D7" s="550" t="s">
        <v>283</v>
      </c>
      <c r="E7" s="551" t="s">
        <v>57</v>
      </c>
      <c r="F7" s="552">
        <v>60</v>
      </c>
      <c r="G7" s="551"/>
      <c r="H7" s="553"/>
      <c r="I7" s="552"/>
      <c r="J7" s="554">
        <v>43500</v>
      </c>
      <c r="K7" s="555">
        <v>3990</v>
      </c>
    </row>
    <row r="8" spans="1:41" s="118" customFormat="1" ht="14" x14ac:dyDescent="0.3">
      <c r="A8" s="153"/>
      <c r="B8" s="373">
        <v>3</v>
      </c>
      <c r="C8" s="549" t="s">
        <v>354</v>
      </c>
      <c r="D8" s="550" t="s">
        <v>283</v>
      </c>
      <c r="E8" s="551" t="s">
        <v>57</v>
      </c>
      <c r="F8" s="552">
        <v>101</v>
      </c>
      <c r="G8" s="551"/>
      <c r="H8" s="553"/>
      <c r="I8" s="552">
        <v>1000</v>
      </c>
      <c r="J8" s="554">
        <v>66000</v>
      </c>
      <c r="K8" s="555">
        <v>4220</v>
      </c>
    </row>
    <row r="9" spans="1:41" s="118" customFormat="1" ht="14" x14ac:dyDescent="0.3">
      <c r="A9" s="153"/>
      <c r="B9" s="373">
        <v>4</v>
      </c>
      <c r="C9" s="549" t="s">
        <v>353</v>
      </c>
      <c r="D9" s="550" t="s">
        <v>283</v>
      </c>
      <c r="E9" s="551" t="s">
        <v>57</v>
      </c>
      <c r="F9" s="552">
        <v>110</v>
      </c>
      <c r="G9" s="551"/>
      <c r="H9" s="553"/>
      <c r="I9" s="552"/>
      <c r="J9" s="554">
        <v>49500</v>
      </c>
      <c r="K9" s="555"/>
    </row>
    <row r="10" spans="1:41" s="118" customFormat="1" ht="14" x14ac:dyDescent="0.3">
      <c r="A10" s="153"/>
      <c r="B10" s="373">
        <v>5</v>
      </c>
      <c r="C10" s="549" t="s">
        <v>359</v>
      </c>
      <c r="D10" s="550" t="s">
        <v>281</v>
      </c>
      <c r="E10" s="556" t="s">
        <v>57</v>
      </c>
      <c r="F10" s="552">
        <v>105</v>
      </c>
      <c r="G10" s="556"/>
      <c r="H10" s="553"/>
      <c r="I10" s="552">
        <v>-1500</v>
      </c>
      <c r="J10" s="557">
        <v>1500</v>
      </c>
      <c r="K10" s="558"/>
    </row>
    <row r="11" spans="1:41" s="118" customFormat="1" ht="25" x14ac:dyDescent="0.3">
      <c r="A11" s="153"/>
      <c r="B11" s="373">
        <v>6</v>
      </c>
      <c r="C11" s="559" t="s">
        <v>377</v>
      </c>
      <c r="D11" s="550" t="s">
        <v>282</v>
      </c>
      <c r="E11" s="551" t="s">
        <v>58</v>
      </c>
      <c r="F11" s="552">
        <v>430</v>
      </c>
      <c r="G11" s="551"/>
      <c r="H11" s="553"/>
      <c r="I11" s="552"/>
      <c r="J11" s="554">
        <v>62100</v>
      </c>
      <c r="K11" s="555"/>
    </row>
    <row r="12" spans="1:41" s="118" customFormat="1" ht="14" x14ac:dyDescent="0.3">
      <c r="A12" s="153"/>
      <c r="B12" s="373">
        <v>7</v>
      </c>
      <c r="C12" s="549" t="s">
        <v>349</v>
      </c>
      <c r="D12" s="550" t="s">
        <v>281</v>
      </c>
      <c r="E12" s="551" t="s">
        <v>58</v>
      </c>
      <c r="F12" s="552">
        <v>600</v>
      </c>
      <c r="G12" s="551"/>
      <c r="H12" s="553"/>
      <c r="I12" s="552"/>
      <c r="J12" s="554">
        <v>50000</v>
      </c>
      <c r="K12" s="555"/>
    </row>
    <row r="13" spans="1:41" s="118" customFormat="1" ht="14" x14ac:dyDescent="0.3">
      <c r="A13" s="153"/>
      <c r="B13" s="373">
        <v>8</v>
      </c>
      <c r="C13" s="560" t="s">
        <v>352</v>
      </c>
      <c r="D13" s="550" t="s">
        <v>281</v>
      </c>
      <c r="E13" s="551" t="s">
        <v>58</v>
      </c>
      <c r="F13" s="552">
        <v>366</v>
      </c>
      <c r="G13" s="551"/>
      <c r="H13" s="553"/>
      <c r="I13" s="552"/>
      <c r="J13" s="554">
        <v>5300</v>
      </c>
      <c r="K13" s="555">
        <v>415</v>
      </c>
    </row>
    <row r="14" spans="1:41" s="118" customFormat="1" ht="14" x14ac:dyDescent="0.3">
      <c r="A14" s="153"/>
      <c r="B14" s="373">
        <v>9</v>
      </c>
      <c r="C14" s="549" t="s">
        <v>356</v>
      </c>
      <c r="D14" s="550" t="s">
        <v>282</v>
      </c>
      <c r="E14" s="551" t="s">
        <v>58</v>
      </c>
      <c r="F14" s="552">
        <v>700</v>
      </c>
      <c r="G14" s="551"/>
      <c r="H14" s="553"/>
      <c r="I14" s="552"/>
      <c r="J14" s="554">
        <v>65000</v>
      </c>
      <c r="K14" s="555"/>
    </row>
    <row r="15" spans="1:41" s="118" customFormat="1" ht="14" x14ac:dyDescent="0.3">
      <c r="A15" s="153"/>
      <c r="B15" s="373">
        <v>10</v>
      </c>
      <c r="C15" s="549" t="s">
        <v>351</v>
      </c>
      <c r="D15" s="550" t="s">
        <v>281</v>
      </c>
      <c r="E15" s="551" t="s">
        <v>57</v>
      </c>
      <c r="F15" s="552">
        <v>100</v>
      </c>
      <c r="G15" s="551"/>
      <c r="H15" s="553"/>
      <c r="I15" s="552">
        <v>-500</v>
      </c>
      <c r="J15" s="554">
        <v>5000</v>
      </c>
      <c r="K15" s="555"/>
    </row>
    <row r="16" spans="1:41" s="118" customFormat="1" ht="25" outlineLevel="1" x14ac:dyDescent="0.3">
      <c r="A16" s="153"/>
      <c r="B16" s="373">
        <v>11</v>
      </c>
      <c r="C16" s="549" t="s">
        <v>350</v>
      </c>
      <c r="D16" s="550" t="s">
        <v>283</v>
      </c>
      <c r="E16" s="551" t="s">
        <v>57</v>
      </c>
      <c r="F16" s="552">
        <v>105</v>
      </c>
      <c r="G16" s="551"/>
      <c r="H16" s="553"/>
      <c r="I16" s="552"/>
      <c r="J16" s="554">
        <v>89000</v>
      </c>
      <c r="K16" s="555">
        <v>2900</v>
      </c>
    </row>
    <row r="17" spans="1:12" s="118" customFormat="1" ht="25" outlineLevel="1" x14ac:dyDescent="0.3">
      <c r="A17" s="153"/>
      <c r="B17" s="373">
        <v>12</v>
      </c>
      <c r="C17" s="560" t="s">
        <v>309</v>
      </c>
      <c r="D17" s="550" t="s">
        <v>283</v>
      </c>
      <c r="E17" s="551" t="s">
        <v>57</v>
      </c>
      <c r="F17" s="552">
        <v>210</v>
      </c>
      <c r="G17" s="551"/>
      <c r="H17" s="553"/>
      <c r="I17" s="552"/>
      <c r="J17" s="554">
        <v>82000</v>
      </c>
      <c r="K17" s="555"/>
    </row>
    <row r="18" spans="1:12" s="118" customFormat="1" ht="14" outlineLevel="1" x14ac:dyDescent="0.3">
      <c r="A18" s="153"/>
      <c r="B18" s="373">
        <v>13</v>
      </c>
      <c r="C18" s="549" t="s">
        <v>358</v>
      </c>
      <c r="D18" s="550" t="s">
        <v>296</v>
      </c>
      <c r="E18" s="551" t="s">
        <v>58</v>
      </c>
      <c r="F18" s="552">
        <v>55</v>
      </c>
      <c r="G18" s="551"/>
      <c r="H18" s="553"/>
      <c r="I18" s="552"/>
      <c r="J18" s="554">
        <v>0</v>
      </c>
      <c r="K18" s="555"/>
    </row>
    <row r="19" spans="1:12" s="118" customFormat="1" ht="14" outlineLevel="1" x14ac:dyDescent="0.3">
      <c r="A19" s="153"/>
      <c r="B19" s="373">
        <v>14</v>
      </c>
      <c r="C19" s="560"/>
      <c r="D19" s="550"/>
      <c r="E19" s="551"/>
      <c r="F19" s="552"/>
      <c r="G19" s="551"/>
      <c r="H19" s="553"/>
      <c r="I19" s="552"/>
      <c r="J19" s="554"/>
      <c r="K19" s="555"/>
    </row>
    <row r="20" spans="1:12" s="118" customFormat="1" ht="14" outlineLevel="1" x14ac:dyDescent="0.3">
      <c r="A20" s="153"/>
      <c r="B20" s="373">
        <v>15</v>
      </c>
      <c r="C20" s="560"/>
      <c r="D20" s="550"/>
      <c r="E20" s="551"/>
      <c r="F20" s="552"/>
      <c r="G20" s="551"/>
      <c r="H20" s="553"/>
      <c r="I20" s="552"/>
      <c r="J20" s="554"/>
      <c r="K20" s="555"/>
    </row>
    <row r="21" spans="1:12" s="118" customFormat="1" ht="14" outlineLevel="1" x14ac:dyDescent="0.3">
      <c r="A21" s="153"/>
      <c r="B21" s="373">
        <v>16</v>
      </c>
      <c r="C21" s="560"/>
      <c r="D21" s="550"/>
      <c r="E21" s="551"/>
      <c r="F21" s="552"/>
      <c r="G21" s="551"/>
      <c r="H21" s="553"/>
      <c r="I21" s="552"/>
      <c r="J21" s="554"/>
      <c r="K21" s="555"/>
    </row>
    <row r="22" spans="1:12" s="118" customFormat="1" ht="14" outlineLevel="1" x14ac:dyDescent="0.3">
      <c r="A22" s="153"/>
      <c r="B22" s="373">
        <v>17</v>
      </c>
      <c r="C22" s="560"/>
      <c r="D22" s="550"/>
      <c r="E22" s="551"/>
      <c r="F22" s="552"/>
      <c r="G22" s="551"/>
      <c r="H22" s="553"/>
      <c r="I22" s="552"/>
      <c r="J22" s="554"/>
      <c r="K22" s="555"/>
    </row>
    <row r="23" spans="1:12" s="152" customFormat="1" ht="14" outlineLevel="1" x14ac:dyDescent="0.3">
      <c r="A23" s="153"/>
      <c r="B23" s="373">
        <v>18</v>
      </c>
      <c r="C23" s="549"/>
      <c r="D23" s="550"/>
      <c r="E23" s="551"/>
      <c r="F23" s="552"/>
      <c r="G23" s="551"/>
      <c r="H23" s="553"/>
      <c r="I23" s="552"/>
      <c r="J23" s="554"/>
      <c r="K23" s="555"/>
      <c r="L23" s="118"/>
    </row>
    <row r="24" spans="1:12" s="152" customFormat="1" ht="14" outlineLevel="1" x14ac:dyDescent="0.3">
      <c r="A24" s="153"/>
      <c r="B24" s="373">
        <v>19</v>
      </c>
      <c r="C24" s="549"/>
      <c r="D24" s="550"/>
      <c r="E24" s="551"/>
      <c r="F24" s="552"/>
      <c r="G24" s="551"/>
      <c r="H24" s="553"/>
      <c r="I24" s="552"/>
      <c r="J24" s="554"/>
      <c r="K24" s="555"/>
      <c r="L24" s="118"/>
    </row>
    <row r="25" spans="1:12" s="194" customFormat="1" outlineLevel="1" thickBot="1" x14ac:dyDescent="0.35">
      <c r="A25" s="153"/>
      <c r="B25" s="373">
        <v>20</v>
      </c>
      <c r="C25" s="561"/>
      <c r="D25" s="562"/>
      <c r="E25" s="563"/>
      <c r="F25" s="564"/>
      <c r="G25" s="563"/>
      <c r="H25" s="565"/>
      <c r="I25" s="564"/>
      <c r="J25" s="566"/>
      <c r="K25" s="567"/>
      <c r="L25" s="118"/>
    </row>
    <row r="26" spans="1:12" s="197" customFormat="1" ht="14" x14ac:dyDescent="0.3">
      <c r="A26" s="153"/>
      <c r="B26" s="247" t="s">
        <v>308</v>
      </c>
      <c r="C26" s="180"/>
      <c r="D26" s="169"/>
      <c r="E26" s="170"/>
      <c r="F26" s="171"/>
      <c r="G26" s="170"/>
      <c r="H26" s="172"/>
      <c r="I26" s="171"/>
      <c r="J26" s="176"/>
      <c r="K26" s="177"/>
      <c r="L26" s="118"/>
    </row>
    <row r="27" spans="1:12" s="152" customFormat="1" ht="32.25" customHeight="1" x14ac:dyDescent="0.25"/>
    <row r="28" spans="1:12" s="152" customFormat="1" ht="12.5" x14ac:dyDescent="0.25"/>
    <row r="29" spans="1:12" ht="15.5" x14ac:dyDescent="0.35">
      <c r="A29" s="44"/>
      <c r="B29" s="45"/>
      <c r="C29" s="119"/>
      <c r="D29" s="119"/>
      <c r="E29" s="119"/>
      <c r="F29" s="119"/>
      <c r="G29" s="119"/>
      <c r="H29" s="119"/>
      <c r="I29" s="119"/>
      <c r="J29" s="119"/>
      <c r="K29" s="119"/>
    </row>
    <row r="30" spans="1:12" ht="15.5" x14ac:dyDescent="0.35">
      <c r="A30" s="158"/>
      <c r="B30" s="842" t="s">
        <v>262</v>
      </c>
      <c r="C30" s="842"/>
      <c r="D30" s="843"/>
      <c r="E30" s="849" t="s">
        <v>268</v>
      </c>
      <c r="F30" s="850"/>
      <c r="G30" s="850"/>
      <c r="H30" s="851"/>
      <c r="I30" s="854" t="s">
        <v>270</v>
      </c>
      <c r="J30" s="855"/>
      <c r="K30" s="855"/>
    </row>
    <row r="31" spans="1:12" ht="39" x14ac:dyDescent="0.35">
      <c r="A31" s="121"/>
      <c r="B31" s="132" t="s">
        <v>105</v>
      </c>
      <c r="C31" s="127" t="s">
        <v>127</v>
      </c>
      <c r="D31" s="136" t="s">
        <v>265</v>
      </c>
      <c r="E31" s="844" t="s">
        <v>150</v>
      </c>
      <c r="F31" s="845"/>
      <c r="G31" s="845" t="s">
        <v>294</v>
      </c>
      <c r="H31" s="848"/>
      <c r="I31" s="379" t="s">
        <v>317</v>
      </c>
      <c r="J31" s="458" t="s">
        <v>322</v>
      </c>
      <c r="K31" s="380" t="s">
        <v>295</v>
      </c>
    </row>
    <row r="32" spans="1:12" ht="15" thickBot="1" x14ac:dyDescent="0.4">
      <c r="A32" s="153"/>
      <c r="B32" s="260"/>
      <c r="C32" s="374" t="s">
        <v>132</v>
      </c>
      <c r="D32" s="375"/>
      <c r="E32" s="376" t="s">
        <v>150</v>
      </c>
      <c r="F32" s="377" t="s">
        <v>107</v>
      </c>
      <c r="G32" s="377" t="s">
        <v>151</v>
      </c>
      <c r="H32" s="378" t="s">
        <v>107</v>
      </c>
      <c r="I32" s="382" t="s">
        <v>158</v>
      </c>
      <c r="J32" s="383" t="s">
        <v>2</v>
      </c>
      <c r="K32" s="383" t="s">
        <v>137</v>
      </c>
    </row>
    <row r="33" spans="1:11" x14ac:dyDescent="0.35">
      <c r="A33" s="153"/>
      <c r="B33" s="372">
        <v>1</v>
      </c>
      <c r="C33" s="542"/>
      <c r="D33" s="543"/>
      <c r="E33" s="544"/>
      <c r="F33" s="545"/>
      <c r="G33" s="544"/>
      <c r="H33" s="546"/>
      <c r="I33" s="545"/>
      <c r="J33" s="547"/>
      <c r="K33" s="548"/>
    </row>
    <row r="34" spans="1:11" x14ac:dyDescent="0.35">
      <c r="A34" s="153"/>
      <c r="B34" s="373">
        <v>2</v>
      </c>
      <c r="C34" s="549"/>
      <c r="D34" s="550"/>
      <c r="E34" s="551"/>
      <c r="F34" s="552"/>
      <c r="G34" s="551"/>
      <c r="H34" s="553"/>
      <c r="I34" s="552"/>
      <c r="J34" s="554"/>
      <c r="K34" s="555"/>
    </row>
    <row r="35" spans="1:11" x14ac:dyDescent="0.35">
      <c r="A35" s="153"/>
      <c r="B35" s="373">
        <v>3</v>
      </c>
      <c r="C35" s="549"/>
      <c r="D35" s="550"/>
      <c r="E35" s="551"/>
      <c r="F35" s="552"/>
      <c r="G35" s="551"/>
      <c r="H35" s="553"/>
      <c r="I35" s="552"/>
      <c r="J35" s="554"/>
      <c r="K35" s="555"/>
    </row>
    <row r="36" spans="1:11" x14ac:dyDescent="0.35">
      <c r="A36" s="153"/>
      <c r="B36" s="373">
        <v>4</v>
      </c>
      <c r="C36" s="549"/>
      <c r="D36" s="550"/>
      <c r="E36" s="551"/>
      <c r="F36" s="552"/>
      <c r="G36" s="551"/>
      <c r="H36" s="553"/>
      <c r="I36" s="552"/>
      <c r="J36" s="554"/>
      <c r="K36" s="555"/>
    </row>
    <row r="37" spans="1:11" x14ac:dyDescent="0.35">
      <c r="A37" s="153"/>
      <c r="B37" s="373">
        <v>5</v>
      </c>
      <c r="C37" s="549"/>
      <c r="D37" s="550"/>
      <c r="E37" s="556"/>
      <c r="F37" s="552"/>
      <c r="G37" s="556"/>
      <c r="H37" s="553"/>
      <c r="I37" s="552"/>
      <c r="J37" s="557"/>
      <c r="K37" s="558"/>
    </row>
    <row r="38" spans="1:11" x14ac:dyDescent="0.35">
      <c r="A38" s="153"/>
      <c r="B38" s="373">
        <v>6</v>
      </c>
      <c r="C38" s="559"/>
      <c r="D38" s="550"/>
      <c r="E38" s="551"/>
      <c r="F38" s="552"/>
      <c r="G38" s="551"/>
      <c r="H38" s="553"/>
      <c r="I38" s="552"/>
      <c r="J38" s="554"/>
      <c r="K38" s="555"/>
    </row>
    <row r="39" spans="1:11" x14ac:dyDescent="0.35">
      <c r="A39" s="153"/>
      <c r="B39" s="373">
        <v>7</v>
      </c>
      <c r="C39" s="549"/>
      <c r="D39" s="550"/>
      <c r="E39" s="551"/>
      <c r="F39" s="552"/>
      <c r="G39" s="551"/>
      <c r="H39" s="553"/>
      <c r="I39" s="552"/>
      <c r="J39" s="554"/>
      <c r="K39" s="555"/>
    </row>
    <row r="40" spans="1:11" x14ac:dyDescent="0.35">
      <c r="A40" s="153"/>
      <c r="B40" s="373">
        <v>8</v>
      </c>
      <c r="C40" s="560"/>
      <c r="D40" s="550"/>
      <c r="E40" s="551"/>
      <c r="F40" s="552"/>
      <c r="G40" s="551"/>
      <c r="H40" s="553"/>
      <c r="I40" s="552"/>
      <c r="J40" s="554"/>
      <c r="K40" s="555"/>
    </row>
    <row r="41" spans="1:11" x14ac:dyDescent="0.35">
      <c r="A41" s="153"/>
      <c r="B41" s="373">
        <v>9</v>
      </c>
      <c r="C41" s="549"/>
      <c r="D41" s="550"/>
      <c r="E41" s="551"/>
      <c r="F41" s="552"/>
      <c r="G41" s="551"/>
      <c r="H41" s="553"/>
      <c r="I41" s="552"/>
      <c r="J41" s="554"/>
      <c r="K41" s="555"/>
    </row>
    <row r="42" spans="1:11" outlineLevel="1" x14ac:dyDescent="0.35">
      <c r="A42" s="153"/>
      <c r="B42" s="373">
        <v>10</v>
      </c>
      <c r="C42" s="549"/>
      <c r="D42" s="550"/>
      <c r="E42" s="551"/>
      <c r="F42" s="552"/>
      <c r="G42" s="551"/>
      <c r="H42" s="553"/>
      <c r="I42" s="552"/>
      <c r="J42" s="554"/>
      <c r="K42" s="555"/>
    </row>
    <row r="43" spans="1:11" outlineLevel="1" x14ac:dyDescent="0.35">
      <c r="A43" s="153"/>
      <c r="B43" s="373">
        <v>11</v>
      </c>
      <c r="C43" s="549"/>
      <c r="D43" s="550"/>
      <c r="E43" s="551"/>
      <c r="F43" s="552"/>
      <c r="G43" s="551"/>
      <c r="H43" s="553"/>
      <c r="I43" s="552"/>
      <c r="J43" s="554"/>
      <c r="K43" s="555"/>
    </row>
    <row r="44" spans="1:11" outlineLevel="1" x14ac:dyDescent="0.35">
      <c r="A44" s="153"/>
      <c r="B44" s="373">
        <v>12</v>
      </c>
      <c r="C44" s="560"/>
      <c r="D44" s="550"/>
      <c r="E44" s="551"/>
      <c r="F44" s="552"/>
      <c r="G44" s="551"/>
      <c r="H44" s="553"/>
      <c r="I44" s="552"/>
      <c r="J44" s="554"/>
      <c r="K44" s="555"/>
    </row>
    <row r="45" spans="1:11" outlineLevel="1" x14ac:dyDescent="0.35">
      <c r="A45" s="153"/>
      <c r="B45" s="373">
        <v>13</v>
      </c>
      <c r="C45" s="549"/>
      <c r="D45" s="550"/>
      <c r="E45" s="551"/>
      <c r="F45" s="552"/>
      <c r="G45" s="551"/>
      <c r="H45" s="553"/>
      <c r="I45" s="552"/>
      <c r="J45" s="554"/>
      <c r="K45" s="555"/>
    </row>
    <row r="46" spans="1:11" outlineLevel="1" x14ac:dyDescent="0.35">
      <c r="A46" s="153"/>
      <c r="B46" s="373">
        <v>14</v>
      </c>
      <c r="C46" s="560"/>
      <c r="D46" s="550"/>
      <c r="E46" s="551"/>
      <c r="F46" s="552"/>
      <c r="G46" s="551"/>
      <c r="H46" s="553"/>
      <c r="I46" s="552"/>
      <c r="J46" s="554"/>
      <c r="K46" s="555"/>
    </row>
    <row r="47" spans="1:11" outlineLevel="1" x14ac:dyDescent="0.35">
      <c r="A47" s="153"/>
      <c r="B47" s="373">
        <v>15</v>
      </c>
      <c r="C47" s="560"/>
      <c r="D47" s="550"/>
      <c r="E47" s="551"/>
      <c r="F47" s="552"/>
      <c r="G47" s="551"/>
      <c r="H47" s="553"/>
      <c r="I47" s="552"/>
      <c r="J47" s="554"/>
      <c r="K47" s="555"/>
    </row>
    <row r="48" spans="1:11" outlineLevel="1" x14ac:dyDescent="0.35">
      <c r="A48" s="153"/>
      <c r="B48" s="373">
        <v>16</v>
      </c>
      <c r="C48" s="560"/>
      <c r="D48" s="550"/>
      <c r="E48" s="551"/>
      <c r="F48" s="552"/>
      <c r="G48" s="551"/>
      <c r="H48" s="553"/>
      <c r="I48" s="552"/>
      <c r="J48" s="554"/>
      <c r="K48" s="555"/>
    </row>
    <row r="49" spans="1:11" outlineLevel="1" x14ac:dyDescent="0.35">
      <c r="A49" s="153"/>
      <c r="B49" s="373">
        <v>17</v>
      </c>
      <c r="C49" s="560"/>
      <c r="D49" s="550"/>
      <c r="E49" s="551"/>
      <c r="F49" s="552"/>
      <c r="G49" s="551"/>
      <c r="H49" s="553"/>
      <c r="I49" s="552"/>
      <c r="J49" s="554"/>
      <c r="K49" s="555"/>
    </row>
    <row r="50" spans="1:11" outlineLevel="1" x14ac:dyDescent="0.35">
      <c r="A50" s="153"/>
      <c r="B50" s="373">
        <v>18</v>
      </c>
      <c r="C50" s="549"/>
      <c r="D50" s="550"/>
      <c r="E50" s="551"/>
      <c r="F50" s="552"/>
      <c r="G50" s="551"/>
      <c r="H50" s="553"/>
      <c r="I50" s="552"/>
      <c r="J50" s="554"/>
      <c r="K50" s="555"/>
    </row>
    <row r="51" spans="1:11" outlineLevel="1" x14ac:dyDescent="0.35">
      <c r="A51" s="153"/>
      <c r="B51" s="373">
        <v>19</v>
      </c>
      <c r="C51" s="549"/>
      <c r="D51" s="550"/>
      <c r="E51" s="551"/>
      <c r="F51" s="552"/>
      <c r="G51" s="551"/>
      <c r="H51" s="553"/>
      <c r="I51" s="552"/>
      <c r="J51" s="554"/>
      <c r="K51" s="555"/>
    </row>
    <row r="52" spans="1:11" ht="15" outlineLevel="1" thickBot="1" x14ac:dyDescent="0.4">
      <c r="A52" s="153"/>
      <c r="B52" s="373">
        <v>20</v>
      </c>
      <c r="C52" s="561"/>
      <c r="D52" s="562"/>
      <c r="E52" s="563"/>
      <c r="F52" s="564"/>
      <c r="G52" s="563"/>
      <c r="H52" s="565"/>
      <c r="I52" s="564"/>
      <c r="J52" s="566"/>
      <c r="K52" s="567"/>
    </row>
    <row r="53" spans="1:11" x14ac:dyDescent="0.35">
      <c r="A53" s="153"/>
      <c r="B53" s="247" t="s">
        <v>308</v>
      </c>
      <c r="C53" s="180"/>
      <c r="D53" s="169"/>
      <c r="E53" s="170"/>
      <c r="F53" s="171"/>
      <c r="G53" s="170"/>
      <c r="H53" s="172"/>
      <c r="I53" s="171"/>
      <c r="J53" s="176"/>
      <c r="K53" s="177"/>
    </row>
    <row r="56" spans="1:11" ht="15.5" x14ac:dyDescent="0.35">
      <c r="A56" s="44"/>
      <c r="B56" s="45"/>
      <c r="C56" s="119"/>
      <c r="D56" s="119"/>
      <c r="E56" s="119"/>
      <c r="F56" s="119"/>
      <c r="G56" s="119"/>
      <c r="H56" s="119"/>
      <c r="I56" s="119"/>
      <c r="J56" s="119"/>
      <c r="K56" s="119"/>
    </row>
    <row r="57" spans="1:11" ht="15.5" x14ac:dyDescent="0.35">
      <c r="A57" s="158"/>
      <c r="B57" s="842" t="s">
        <v>262</v>
      </c>
      <c r="C57" s="842"/>
      <c r="D57" s="843"/>
      <c r="E57" s="849" t="s">
        <v>268</v>
      </c>
      <c r="F57" s="850"/>
      <c r="G57" s="850"/>
      <c r="H57" s="851"/>
      <c r="I57" s="854" t="s">
        <v>270</v>
      </c>
      <c r="J57" s="855"/>
      <c r="K57" s="855"/>
    </row>
    <row r="58" spans="1:11" ht="39" x14ac:dyDescent="0.35">
      <c r="A58" s="121"/>
      <c r="B58" s="132" t="s">
        <v>105</v>
      </c>
      <c r="C58" s="127" t="s">
        <v>127</v>
      </c>
      <c r="D58" s="136" t="s">
        <v>265</v>
      </c>
      <c r="E58" s="844" t="s">
        <v>150</v>
      </c>
      <c r="F58" s="845"/>
      <c r="G58" s="845" t="s">
        <v>294</v>
      </c>
      <c r="H58" s="848"/>
      <c r="I58" s="379" t="s">
        <v>317</v>
      </c>
      <c r="J58" s="458" t="s">
        <v>322</v>
      </c>
      <c r="K58" s="380" t="s">
        <v>295</v>
      </c>
    </row>
    <row r="59" spans="1:11" ht="15" thickBot="1" x14ac:dyDescent="0.4">
      <c r="A59" s="153"/>
      <c r="B59" s="260"/>
      <c r="C59" s="374" t="s">
        <v>132</v>
      </c>
      <c r="D59" s="375"/>
      <c r="E59" s="376" t="s">
        <v>150</v>
      </c>
      <c r="F59" s="377" t="s">
        <v>107</v>
      </c>
      <c r="G59" s="377" t="s">
        <v>151</v>
      </c>
      <c r="H59" s="378" t="s">
        <v>107</v>
      </c>
      <c r="I59" s="382" t="s">
        <v>158</v>
      </c>
      <c r="J59" s="383" t="s">
        <v>2</v>
      </c>
      <c r="K59" s="383" t="s">
        <v>137</v>
      </c>
    </row>
    <row r="60" spans="1:11" x14ac:dyDescent="0.35">
      <c r="A60" s="153"/>
      <c r="B60" s="372">
        <v>1</v>
      </c>
      <c r="C60" s="542"/>
      <c r="D60" s="543"/>
      <c r="E60" s="544"/>
      <c r="F60" s="545"/>
      <c r="G60" s="544"/>
      <c r="H60" s="546"/>
      <c r="I60" s="545"/>
      <c r="J60" s="547"/>
      <c r="K60" s="548"/>
    </row>
    <row r="61" spans="1:11" x14ac:dyDescent="0.35">
      <c r="A61" s="153"/>
      <c r="B61" s="373">
        <v>2</v>
      </c>
      <c r="C61" s="549"/>
      <c r="D61" s="550"/>
      <c r="E61" s="551"/>
      <c r="F61" s="552"/>
      <c r="G61" s="551"/>
      <c r="H61" s="553"/>
      <c r="I61" s="552"/>
      <c r="J61" s="554"/>
      <c r="K61" s="555"/>
    </row>
    <row r="62" spans="1:11" x14ac:dyDescent="0.35">
      <c r="A62" s="153"/>
      <c r="B62" s="373">
        <v>3</v>
      </c>
      <c r="C62" s="549"/>
      <c r="D62" s="550"/>
      <c r="E62" s="551"/>
      <c r="F62" s="552"/>
      <c r="G62" s="551"/>
      <c r="H62" s="553"/>
      <c r="I62" s="552"/>
      <c r="J62" s="554"/>
      <c r="K62" s="555"/>
    </row>
    <row r="63" spans="1:11" x14ac:dyDescent="0.35">
      <c r="A63" s="153"/>
      <c r="B63" s="373">
        <v>4</v>
      </c>
      <c r="C63" s="549"/>
      <c r="D63" s="550"/>
      <c r="E63" s="551"/>
      <c r="F63" s="552"/>
      <c r="G63" s="551"/>
      <c r="H63" s="553"/>
      <c r="I63" s="552"/>
      <c r="J63" s="554"/>
      <c r="K63" s="555"/>
    </row>
    <row r="64" spans="1:11" x14ac:dyDescent="0.35">
      <c r="A64" s="153"/>
      <c r="B64" s="373">
        <v>5</v>
      </c>
      <c r="C64" s="549"/>
      <c r="D64" s="550"/>
      <c r="E64" s="556"/>
      <c r="F64" s="552"/>
      <c r="G64" s="556"/>
      <c r="H64" s="553"/>
      <c r="I64" s="552"/>
      <c r="J64" s="557"/>
      <c r="K64" s="558"/>
    </row>
    <row r="65" spans="1:11" x14ac:dyDescent="0.35">
      <c r="A65" s="153"/>
      <c r="B65" s="373">
        <v>6</v>
      </c>
      <c r="C65" s="559"/>
      <c r="D65" s="550"/>
      <c r="E65" s="551"/>
      <c r="F65" s="552"/>
      <c r="G65" s="551"/>
      <c r="H65" s="553"/>
      <c r="I65" s="552"/>
      <c r="J65" s="554"/>
      <c r="K65" s="555"/>
    </row>
    <row r="66" spans="1:11" x14ac:dyDescent="0.35">
      <c r="A66" s="153"/>
      <c r="B66" s="373">
        <v>7</v>
      </c>
      <c r="C66" s="549"/>
      <c r="D66" s="550"/>
      <c r="E66" s="551"/>
      <c r="F66" s="552"/>
      <c r="G66" s="551"/>
      <c r="H66" s="553"/>
      <c r="I66" s="552"/>
      <c r="J66" s="554"/>
      <c r="K66" s="555"/>
    </row>
    <row r="67" spans="1:11" x14ac:dyDescent="0.35">
      <c r="A67" s="153"/>
      <c r="B67" s="373">
        <v>8</v>
      </c>
      <c r="C67" s="560"/>
      <c r="D67" s="550"/>
      <c r="E67" s="551"/>
      <c r="F67" s="552"/>
      <c r="G67" s="551"/>
      <c r="H67" s="553"/>
      <c r="I67" s="552"/>
      <c r="J67" s="554"/>
      <c r="K67" s="555"/>
    </row>
    <row r="68" spans="1:11" x14ac:dyDescent="0.35">
      <c r="A68" s="153"/>
      <c r="B68" s="373">
        <v>9</v>
      </c>
      <c r="C68" s="549"/>
      <c r="D68" s="550"/>
      <c r="E68" s="551"/>
      <c r="F68" s="552"/>
      <c r="G68" s="551"/>
      <c r="H68" s="553"/>
      <c r="I68" s="552"/>
      <c r="J68" s="554"/>
      <c r="K68" s="555"/>
    </row>
    <row r="69" spans="1:11" x14ac:dyDescent="0.35">
      <c r="A69" s="153"/>
      <c r="B69" s="373">
        <v>10</v>
      </c>
      <c r="C69" s="549"/>
      <c r="D69" s="550"/>
      <c r="E69" s="551"/>
      <c r="F69" s="552"/>
      <c r="G69" s="551"/>
      <c r="H69" s="553"/>
      <c r="I69" s="552"/>
      <c r="J69" s="554"/>
      <c r="K69" s="555"/>
    </row>
    <row r="70" spans="1:11" outlineLevel="1" x14ac:dyDescent="0.35">
      <c r="A70" s="153"/>
      <c r="B70" s="373">
        <v>11</v>
      </c>
      <c r="C70" s="549"/>
      <c r="D70" s="550"/>
      <c r="E70" s="551"/>
      <c r="F70" s="552"/>
      <c r="G70" s="551"/>
      <c r="H70" s="553"/>
      <c r="I70" s="552"/>
      <c r="J70" s="554"/>
      <c r="K70" s="555"/>
    </row>
    <row r="71" spans="1:11" outlineLevel="1" x14ac:dyDescent="0.35">
      <c r="A71" s="153"/>
      <c r="B71" s="373">
        <v>12</v>
      </c>
      <c r="C71" s="560"/>
      <c r="D71" s="550"/>
      <c r="E71" s="551"/>
      <c r="F71" s="552"/>
      <c r="G71" s="551"/>
      <c r="H71" s="553"/>
      <c r="I71" s="552"/>
      <c r="J71" s="554"/>
      <c r="K71" s="555"/>
    </row>
    <row r="72" spans="1:11" outlineLevel="1" x14ac:dyDescent="0.35">
      <c r="A72" s="153"/>
      <c r="B72" s="373">
        <v>13</v>
      </c>
      <c r="C72" s="549"/>
      <c r="D72" s="550"/>
      <c r="E72" s="551"/>
      <c r="F72" s="552"/>
      <c r="G72" s="551"/>
      <c r="H72" s="553"/>
      <c r="I72" s="552"/>
      <c r="J72" s="554"/>
      <c r="K72" s="555"/>
    </row>
    <row r="73" spans="1:11" outlineLevel="1" x14ac:dyDescent="0.35">
      <c r="A73" s="153"/>
      <c r="B73" s="373">
        <v>14</v>
      </c>
      <c r="C73" s="560"/>
      <c r="D73" s="550"/>
      <c r="E73" s="551"/>
      <c r="F73" s="552"/>
      <c r="G73" s="551"/>
      <c r="H73" s="553"/>
      <c r="I73" s="552"/>
      <c r="J73" s="554"/>
      <c r="K73" s="555"/>
    </row>
    <row r="74" spans="1:11" outlineLevel="1" x14ac:dyDescent="0.35">
      <c r="A74" s="153"/>
      <c r="B74" s="373">
        <v>15</v>
      </c>
      <c r="C74" s="560"/>
      <c r="D74" s="550"/>
      <c r="E74" s="551"/>
      <c r="F74" s="552"/>
      <c r="G74" s="551"/>
      <c r="H74" s="553"/>
      <c r="I74" s="552"/>
      <c r="J74" s="554"/>
      <c r="K74" s="555"/>
    </row>
    <row r="75" spans="1:11" outlineLevel="1" x14ac:dyDescent="0.35">
      <c r="A75" s="153"/>
      <c r="B75" s="373">
        <v>16</v>
      </c>
      <c r="C75" s="560"/>
      <c r="D75" s="550"/>
      <c r="E75" s="551"/>
      <c r="F75" s="552"/>
      <c r="G75" s="551"/>
      <c r="H75" s="553"/>
      <c r="I75" s="552"/>
      <c r="J75" s="554"/>
      <c r="K75" s="555"/>
    </row>
    <row r="76" spans="1:11" outlineLevel="1" x14ac:dyDescent="0.35">
      <c r="A76" s="153"/>
      <c r="B76" s="373">
        <v>17</v>
      </c>
      <c r="C76" s="560"/>
      <c r="D76" s="550"/>
      <c r="E76" s="551"/>
      <c r="F76" s="552"/>
      <c r="G76" s="551"/>
      <c r="H76" s="553"/>
      <c r="I76" s="552"/>
      <c r="J76" s="554"/>
      <c r="K76" s="555"/>
    </row>
    <row r="77" spans="1:11" outlineLevel="1" x14ac:dyDescent="0.35">
      <c r="A77" s="153"/>
      <c r="B77" s="373">
        <v>18</v>
      </c>
      <c r="C77" s="549"/>
      <c r="D77" s="550"/>
      <c r="E77" s="551"/>
      <c r="F77" s="552"/>
      <c r="G77" s="551"/>
      <c r="H77" s="553"/>
      <c r="I77" s="552"/>
      <c r="J77" s="554"/>
      <c r="K77" s="555"/>
    </row>
    <row r="78" spans="1:11" outlineLevel="1" x14ac:dyDescent="0.35">
      <c r="A78" s="153"/>
      <c r="B78" s="373">
        <v>19</v>
      </c>
      <c r="C78" s="549"/>
      <c r="D78" s="550"/>
      <c r="E78" s="551"/>
      <c r="F78" s="552"/>
      <c r="G78" s="551"/>
      <c r="H78" s="553"/>
      <c r="I78" s="552"/>
      <c r="J78" s="554"/>
      <c r="K78" s="555"/>
    </row>
    <row r="79" spans="1:11" ht="15" outlineLevel="1" thickBot="1" x14ac:dyDescent="0.4">
      <c r="A79" s="153"/>
      <c r="B79" s="373">
        <v>20</v>
      </c>
      <c r="C79" s="561"/>
      <c r="D79" s="562"/>
      <c r="E79" s="563"/>
      <c r="F79" s="564"/>
      <c r="G79" s="563"/>
      <c r="H79" s="565"/>
      <c r="I79" s="564"/>
      <c r="J79" s="566"/>
      <c r="K79" s="567"/>
    </row>
    <row r="80" spans="1:11" x14ac:dyDescent="0.35">
      <c r="A80" s="153"/>
      <c r="B80" s="247" t="s">
        <v>308</v>
      </c>
      <c r="C80" s="180"/>
      <c r="D80" s="169"/>
      <c r="E80" s="170"/>
      <c r="F80" s="171"/>
      <c r="G80" s="170"/>
      <c r="H80" s="172"/>
      <c r="I80" s="171"/>
      <c r="J80" s="176"/>
      <c r="K80" s="177"/>
    </row>
  </sheetData>
  <mergeCells count="16">
    <mergeCell ref="C1:F1"/>
    <mergeCell ref="B57:D57"/>
    <mergeCell ref="E57:H57"/>
    <mergeCell ref="I57:K57"/>
    <mergeCell ref="E58:F58"/>
    <mergeCell ref="G58:H58"/>
    <mergeCell ref="B30:D30"/>
    <mergeCell ref="E30:H30"/>
    <mergeCell ref="I30:K30"/>
    <mergeCell ref="E31:F31"/>
    <mergeCell ref="G31:H31"/>
    <mergeCell ref="E4:F4"/>
    <mergeCell ref="G4:H4"/>
    <mergeCell ref="B3:D3"/>
    <mergeCell ref="E3:H3"/>
    <mergeCell ref="I3:K3"/>
  </mergeCells>
  <conditionalFormatting sqref="G26">
    <cfRule type="expression" dxfId="98" priority="672" stopIfTrue="1">
      <formula>AND(NOT(ISBLANK(F26)),ISBLANK(G26))</formula>
    </cfRule>
  </conditionalFormatting>
  <conditionalFormatting sqref="E26">
    <cfRule type="expression" dxfId="97" priority="680" stopIfTrue="1">
      <formula>AND(NOT(ISBLANK(C26)),ISBLANK(E26))</formula>
    </cfRule>
  </conditionalFormatting>
  <conditionalFormatting sqref="G53">
    <cfRule type="expression" dxfId="96" priority="153" stopIfTrue="1">
      <formula>AND(NOT(ISBLANK(F53)),ISBLANK(G53))</formula>
    </cfRule>
  </conditionalFormatting>
  <conditionalFormatting sqref="E53">
    <cfRule type="expression" dxfId="95" priority="154" stopIfTrue="1">
      <formula>AND(NOT(ISBLANK(C53)),ISBLANK(E53))</formula>
    </cfRule>
  </conditionalFormatting>
  <conditionalFormatting sqref="G80">
    <cfRule type="expression" dxfId="94" priority="121" stopIfTrue="1">
      <formula>AND(NOT(ISBLANK(F80)),ISBLANK(G80))</formula>
    </cfRule>
  </conditionalFormatting>
  <conditionalFormatting sqref="E80">
    <cfRule type="expression" dxfId="93" priority="122" stopIfTrue="1">
      <formula>AND(NOT(ISBLANK(C80)),ISBLANK(E80))</formula>
    </cfRule>
  </conditionalFormatting>
  <conditionalFormatting sqref="F23 H23">
    <cfRule type="cellIs" dxfId="92" priority="85" operator="lessThan">
      <formula>0</formula>
    </cfRule>
    <cfRule type="cellIs" dxfId="91" priority="86" operator="greaterThan">
      <formula>0</formula>
    </cfRule>
  </conditionalFormatting>
  <conditionalFormatting sqref="H6:H9 H11:H25">
    <cfRule type="cellIs" dxfId="90" priority="81" operator="lessThan">
      <formula>0</formula>
    </cfRule>
    <cfRule type="cellIs" dxfId="89" priority="82" operator="greaterThan">
      <formula>0</formula>
    </cfRule>
  </conditionalFormatting>
  <conditionalFormatting sqref="I11:I15 I24:I25">
    <cfRule type="cellIs" dxfId="88" priority="79" operator="lessThan">
      <formula>0</formula>
    </cfRule>
    <cfRule type="cellIs" dxfId="87" priority="80" operator="greaterThan">
      <formula>0</formula>
    </cfRule>
  </conditionalFormatting>
  <conditionalFormatting sqref="F6:F9 F11:F25">
    <cfRule type="cellIs" dxfId="86" priority="89" operator="lessThan">
      <formula>0</formula>
    </cfRule>
    <cfRule type="cellIs" dxfId="85" priority="90" operator="greaterThan">
      <formula>0</formula>
    </cfRule>
  </conditionalFormatting>
  <conditionalFormatting sqref="I17:I21">
    <cfRule type="cellIs" dxfId="84" priority="75" operator="lessThan">
      <formula>0</formula>
    </cfRule>
    <cfRule type="cellIs" dxfId="83" priority="76" operator="greaterThan">
      <formula>0</formula>
    </cfRule>
  </conditionalFormatting>
  <conditionalFormatting sqref="I23">
    <cfRule type="cellIs" dxfId="82" priority="71" operator="lessThan">
      <formula>0</formula>
    </cfRule>
    <cfRule type="cellIs" dxfId="81" priority="72" operator="greaterThan">
      <formula>0</formula>
    </cfRule>
  </conditionalFormatting>
  <conditionalFormatting sqref="I6:I9 I11:I25">
    <cfRule type="cellIs" dxfId="80" priority="77" operator="lessThan">
      <formula>0</formula>
    </cfRule>
    <cfRule type="cellIs" dxfId="79" priority="78" operator="greaterThan">
      <formula>0</formula>
    </cfRule>
  </conditionalFormatting>
  <conditionalFormatting sqref="I16">
    <cfRule type="cellIs" dxfId="78" priority="73" operator="lessThan">
      <formula>0</formula>
    </cfRule>
    <cfRule type="cellIs" dxfId="77" priority="74" operator="greaterThan">
      <formula>0</formula>
    </cfRule>
  </conditionalFormatting>
  <conditionalFormatting sqref="I22">
    <cfRule type="cellIs" dxfId="76" priority="69" operator="lessThan">
      <formula>0</formula>
    </cfRule>
    <cfRule type="cellIs" dxfId="75" priority="70" operator="greaterThan">
      <formula>0</formula>
    </cfRule>
  </conditionalFormatting>
  <conditionalFormatting sqref="F22 H22">
    <cfRule type="cellIs" dxfId="74" priority="83" operator="lessThan">
      <formula>0</formula>
    </cfRule>
    <cfRule type="cellIs" dxfId="73" priority="84" operator="greaterThan">
      <formula>0</formula>
    </cfRule>
  </conditionalFormatting>
  <conditionalFormatting sqref="F16:F21 H16:H21 H24:H25 F24:F25">
    <cfRule type="cellIs" dxfId="72" priority="87" operator="lessThan">
      <formula>0</formula>
    </cfRule>
    <cfRule type="cellIs" dxfId="71" priority="88" operator="greaterThan">
      <formula>0</formula>
    </cfRule>
  </conditionalFormatting>
  <conditionalFormatting sqref="H10">
    <cfRule type="cellIs" dxfId="70" priority="65" operator="lessThan">
      <formula>0</formula>
    </cfRule>
    <cfRule type="cellIs" dxfId="69" priority="66" operator="greaterThan">
      <formula>0</formula>
    </cfRule>
  </conditionalFormatting>
  <conditionalFormatting sqref="I10">
    <cfRule type="cellIs" dxfId="68" priority="63" operator="lessThan">
      <formula>0</formula>
    </cfRule>
    <cfRule type="cellIs" dxfId="67" priority="64" operator="greaterThan">
      <formula>0</formula>
    </cfRule>
  </conditionalFormatting>
  <conditionalFormatting sqref="F10">
    <cfRule type="cellIs" dxfId="66" priority="67" operator="lessThan">
      <formula>0</formula>
    </cfRule>
    <cfRule type="cellIs" dxfId="65" priority="68" operator="greaterThan">
      <formula>0</formula>
    </cfRule>
  </conditionalFormatting>
  <conditionalFormatting sqref="I10">
    <cfRule type="cellIs" dxfId="64" priority="61" operator="lessThan">
      <formula>0</formula>
    </cfRule>
    <cfRule type="cellIs" dxfId="63" priority="62" operator="greaterThan">
      <formula>0</formula>
    </cfRule>
  </conditionalFormatting>
  <conditionalFormatting sqref="F50 H50">
    <cfRule type="cellIs" dxfId="62" priority="55" operator="lessThan">
      <formula>0</formula>
    </cfRule>
    <cfRule type="cellIs" dxfId="61" priority="56" operator="greaterThan">
      <formula>0</formula>
    </cfRule>
  </conditionalFormatting>
  <conditionalFormatting sqref="H33:H36 H38:H52">
    <cfRule type="cellIs" dxfId="60" priority="51" operator="lessThan">
      <formula>0</formula>
    </cfRule>
    <cfRule type="cellIs" dxfId="59" priority="52" operator="greaterThan">
      <formula>0</formula>
    </cfRule>
  </conditionalFormatting>
  <conditionalFormatting sqref="I38:I42 I51:I52">
    <cfRule type="cellIs" dxfId="58" priority="49" operator="lessThan">
      <formula>0</formula>
    </cfRule>
    <cfRule type="cellIs" dxfId="57" priority="50" operator="greaterThan">
      <formula>0</formula>
    </cfRule>
  </conditionalFormatting>
  <conditionalFormatting sqref="F33:F36 F38:F52">
    <cfRule type="cellIs" dxfId="56" priority="59" operator="lessThan">
      <formula>0</formula>
    </cfRule>
    <cfRule type="cellIs" dxfId="55" priority="60" operator="greaterThan">
      <formula>0</formula>
    </cfRule>
  </conditionalFormatting>
  <conditionalFormatting sqref="I44:I48">
    <cfRule type="cellIs" dxfId="54" priority="45" operator="lessThan">
      <formula>0</formula>
    </cfRule>
    <cfRule type="cellIs" dxfId="53" priority="46" operator="greaterThan">
      <formula>0</formula>
    </cfRule>
  </conditionalFormatting>
  <conditionalFormatting sqref="I50">
    <cfRule type="cellIs" dxfId="52" priority="41" operator="lessThan">
      <formula>0</formula>
    </cfRule>
    <cfRule type="cellIs" dxfId="51" priority="42" operator="greaterThan">
      <formula>0</formula>
    </cfRule>
  </conditionalFormatting>
  <conditionalFormatting sqref="I33:I36 I38:I52">
    <cfRule type="cellIs" dxfId="50" priority="47" operator="lessThan">
      <formula>0</formula>
    </cfRule>
    <cfRule type="cellIs" dxfId="49" priority="48" operator="greaterThan">
      <formula>0</formula>
    </cfRule>
  </conditionalFormatting>
  <conditionalFormatting sqref="I43">
    <cfRule type="cellIs" dxfId="48" priority="43" operator="lessThan">
      <formula>0</formula>
    </cfRule>
    <cfRule type="cellIs" dxfId="47" priority="44" operator="greaterThan">
      <formula>0</formula>
    </cfRule>
  </conditionalFormatting>
  <conditionalFormatting sqref="I49">
    <cfRule type="cellIs" dxfId="46" priority="39" operator="lessThan">
      <formula>0</formula>
    </cfRule>
    <cfRule type="cellIs" dxfId="45" priority="40" operator="greaterThan">
      <formula>0</formula>
    </cfRule>
  </conditionalFormatting>
  <conditionalFormatting sqref="F49 H49">
    <cfRule type="cellIs" dxfId="44" priority="53" operator="lessThan">
      <formula>0</formula>
    </cfRule>
    <cfRule type="cellIs" dxfId="43" priority="54" operator="greaterThan">
      <formula>0</formula>
    </cfRule>
  </conditionalFormatting>
  <conditionalFormatting sqref="F43:F48 H43:H48 H51:H52 F51:F52">
    <cfRule type="cellIs" dxfId="42" priority="57" operator="lessThan">
      <formula>0</formula>
    </cfRule>
    <cfRule type="cellIs" dxfId="41" priority="58" operator="greaterThan">
      <formula>0</formula>
    </cfRule>
  </conditionalFormatting>
  <conditionalFormatting sqref="H37">
    <cfRule type="cellIs" dxfId="40" priority="35" operator="lessThan">
      <formula>0</formula>
    </cfRule>
    <cfRule type="cellIs" dxfId="39" priority="36" operator="greaterThan">
      <formula>0</formula>
    </cfRule>
  </conditionalFormatting>
  <conditionalFormatting sqref="I37">
    <cfRule type="cellIs" dxfId="38" priority="33" operator="lessThan">
      <formula>0</formula>
    </cfRule>
    <cfRule type="cellIs" dxfId="37" priority="34" operator="greaterThan">
      <formula>0</formula>
    </cfRule>
  </conditionalFormatting>
  <conditionalFormatting sqref="F37">
    <cfRule type="cellIs" dxfId="36" priority="37" operator="lessThan">
      <formula>0</formula>
    </cfRule>
    <cfRule type="cellIs" dxfId="35" priority="38" operator="greaterThan">
      <formula>0</formula>
    </cfRule>
  </conditionalFormatting>
  <conditionalFormatting sqref="I37">
    <cfRule type="cellIs" dxfId="34" priority="31" operator="lessThan">
      <formula>0</formula>
    </cfRule>
    <cfRule type="cellIs" dxfId="33" priority="32" operator="greaterThan">
      <formula>0</formula>
    </cfRule>
  </conditionalFormatting>
  <conditionalFormatting sqref="F77 H77">
    <cfRule type="cellIs" dxfId="32" priority="25" operator="lessThan">
      <formula>0</formula>
    </cfRule>
    <cfRule type="cellIs" dxfId="31" priority="26" operator="greaterThan">
      <formula>0</formula>
    </cfRule>
  </conditionalFormatting>
  <conditionalFormatting sqref="H60:H63 H65:H79">
    <cfRule type="cellIs" dxfId="30" priority="21" operator="lessThan">
      <formula>0</formula>
    </cfRule>
    <cfRule type="cellIs" dxfId="29" priority="22" operator="greaterThan">
      <formula>0</formula>
    </cfRule>
  </conditionalFormatting>
  <conditionalFormatting sqref="I65:I69 I78:I79">
    <cfRule type="cellIs" dxfId="28" priority="19" operator="lessThan">
      <formula>0</formula>
    </cfRule>
    <cfRule type="cellIs" dxfId="27" priority="20" operator="greaterThan">
      <formula>0</formula>
    </cfRule>
  </conditionalFormatting>
  <conditionalFormatting sqref="F60:F63 F65:F79">
    <cfRule type="cellIs" dxfId="26" priority="29" operator="lessThan">
      <formula>0</formula>
    </cfRule>
    <cfRule type="cellIs" dxfId="25" priority="30" operator="greaterThan">
      <formula>0</formula>
    </cfRule>
  </conditionalFormatting>
  <conditionalFormatting sqref="I71:I75">
    <cfRule type="cellIs" dxfId="24" priority="15" operator="lessThan">
      <formula>0</formula>
    </cfRule>
    <cfRule type="cellIs" dxfId="23" priority="16" operator="greaterThan">
      <formula>0</formula>
    </cfRule>
  </conditionalFormatting>
  <conditionalFormatting sqref="I77">
    <cfRule type="cellIs" dxfId="22" priority="11" operator="lessThan">
      <formula>0</formula>
    </cfRule>
    <cfRule type="cellIs" dxfId="21" priority="12" operator="greaterThan">
      <formula>0</formula>
    </cfRule>
  </conditionalFormatting>
  <conditionalFormatting sqref="I60:I63 I65:I79">
    <cfRule type="cellIs" dxfId="20" priority="17" operator="lessThan">
      <formula>0</formula>
    </cfRule>
    <cfRule type="cellIs" dxfId="19" priority="18" operator="greaterThan">
      <formula>0</formula>
    </cfRule>
  </conditionalFormatting>
  <conditionalFormatting sqref="I70">
    <cfRule type="cellIs" dxfId="18" priority="13" operator="lessThan">
      <formula>0</formula>
    </cfRule>
    <cfRule type="cellIs" dxfId="17" priority="14" operator="greaterThan">
      <formula>0</formula>
    </cfRule>
  </conditionalFormatting>
  <conditionalFormatting sqref="I76">
    <cfRule type="cellIs" dxfId="16" priority="9" operator="lessThan">
      <formula>0</formula>
    </cfRule>
    <cfRule type="cellIs" dxfId="15" priority="10" operator="greaterThan">
      <formula>0</formula>
    </cfRule>
  </conditionalFormatting>
  <conditionalFormatting sqref="F76 H76">
    <cfRule type="cellIs" dxfId="14" priority="23" operator="lessThan">
      <formula>0</formula>
    </cfRule>
    <cfRule type="cellIs" dxfId="13" priority="24" operator="greaterThan">
      <formula>0</formula>
    </cfRule>
  </conditionalFormatting>
  <conditionalFormatting sqref="F70:F75 H70:H75 H78:H79 F78:F79">
    <cfRule type="cellIs" dxfId="12" priority="27" operator="lessThan">
      <formula>0</formula>
    </cfRule>
    <cfRule type="cellIs" dxfId="11" priority="28" operator="greaterThan">
      <formula>0</formula>
    </cfRule>
  </conditionalFormatting>
  <conditionalFormatting sqref="H64">
    <cfRule type="cellIs" dxfId="10" priority="5" operator="lessThan">
      <formula>0</formula>
    </cfRule>
    <cfRule type="cellIs" dxfId="9" priority="6" operator="greaterThan">
      <formula>0</formula>
    </cfRule>
  </conditionalFormatting>
  <conditionalFormatting sqref="I64">
    <cfRule type="cellIs" dxfId="8" priority="3" operator="lessThan">
      <formula>0</formula>
    </cfRule>
    <cfRule type="cellIs" dxfId="7" priority="4" operator="greaterThan">
      <formula>0</formula>
    </cfRule>
  </conditionalFormatting>
  <conditionalFormatting sqref="F64">
    <cfRule type="cellIs" dxfId="6" priority="7" operator="lessThan">
      <formula>0</formula>
    </cfRule>
    <cfRule type="cellIs" dxfId="5" priority="8" operator="greaterThan">
      <formula>0</formula>
    </cfRule>
  </conditionalFormatting>
  <conditionalFormatting sqref="I64">
    <cfRule type="cellIs" dxfId="4" priority="1" operator="lessThan">
      <formula>0</formula>
    </cfRule>
    <cfRule type="cellIs" dxfId="3" priority="2" operator="greaterThan">
      <formula>0</formula>
    </cfRule>
  </conditionalFormatting>
  <dataValidations count="3">
    <dataValidation type="list" allowBlank="1" showInputMessage="1" showErrorMessage="1" sqref="G6:G26 E6:E26 G60:G80 E33:E53 G33:G53 E60:E80" xr:uid="{00000000-0002-0000-0300-000000000000}">
      <formula1>Type_Energie</formula1>
    </dataValidation>
    <dataValidation type="list" allowBlank="1" showInputMessage="1" showErrorMessage="1" sqref="D6:D25 D60:D79 D33:D52" xr:uid="{00000000-0002-0000-0300-000001000000}">
      <formula1>IF($C6&lt;&gt;"",choix,"")</formula1>
    </dataValidation>
    <dataValidation type="list" allowBlank="1" showInputMessage="1" showErrorMessage="1" sqref="D26 D53 D80" xr:uid="{00000000-0002-0000-0300-000002000000}">
      <formula1>IF(#REF!&lt;&gt;"",choix,"")</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theme="6"/>
  </sheetPr>
  <dimension ref="A1:AL75"/>
  <sheetViews>
    <sheetView showGridLines="0" topLeftCell="B1" zoomScaleNormal="100" workbookViewId="0">
      <pane ySplit="1" topLeftCell="A2" activePane="bottomLeft" state="frozen"/>
      <selection pane="bottomLeft" activeCell="F16" sqref="F16"/>
    </sheetView>
  </sheetViews>
  <sheetFormatPr baseColWidth="10" defaultColWidth="0" defaultRowHeight="14.5" zeroHeight="1" x14ac:dyDescent="0.35"/>
  <cols>
    <col min="1" max="1" width="11.54296875" style="23" hidden="1" customWidth="1"/>
    <col min="2" max="2" width="2.26953125" style="23" customWidth="1"/>
    <col min="3" max="3" width="2.1796875" customWidth="1"/>
    <col min="4" max="4" width="16.1796875" customWidth="1"/>
    <col min="5" max="8" width="11.453125" customWidth="1"/>
    <col min="9" max="9" width="4.81640625" style="23" customWidth="1"/>
    <col min="10" max="10" width="11.54296875" style="23" customWidth="1"/>
    <col min="11" max="11" width="4.7265625" customWidth="1"/>
    <col min="12" max="12" width="16" style="23" customWidth="1"/>
    <col min="13" max="16" width="11.54296875" style="23" customWidth="1"/>
    <col min="17" max="17" width="4.26953125" customWidth="1"/>
    <col min="18" max="18" width="3.54296875" customWidth="1"/>
    <col min="19" max="38" width="0" hidden="1" customWidth="1"/>
    <col min="39" max="16384" width="11.453125" hidden="1"/>
  </cols>
  <sheetData>
    <row r="1" spans="2:33" s="23" customFormat="1" ht="31.9" customHeight="1" x14ac:dyDescent="0.35">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2:33" s="23" customFormat="1" ht="14.5" customHeight="1" x14ac:dyDescent="0.35">
      <c r="B2" s="79"/>
      <c r="C2" s="79"/>
      <c r="D2" s="79"/>
      <c r="E2" s="79"/>
      <c r="F2" s="79"/>
      <c r="G2" s="79"/>
      <c r="H2" s="79"/>
      <c r="I2" s="79"/>
      <c r="J2" s="79"/>
      <c r="K2" s="79"/>
      <c r="L2" s="79"/>
      <c r="M2" s="79"/>
      <c r="N2" s="79"/>
      <c r="O2" s="79"/>
      <c r="P2" s="79"/>
      <c r="Q2" s="79"/>
      <c r="R2" s="79"/>
      <c r="S2" s="79"/>
      <c r="T2" s="79"/>
      <c r="U2" s="79"/>
      <c r="V2" s="79"/>
      <c r="W2" s="79"/>
      <c r="X2" s="79"/>
    </row>
    <row r="3" spans="2:33" ht="24" customHeight="1" thickBot="1" x14ac:dyDescent="0.4">
      <c r="B3" s="79"/>
      <c r="C3" s="856" t="s">
        <v>383</v>
      </c>
      <c r="D3" s="857"/>
      <c r="E3" s="857"/>
      <c r="F3" s="857"/>
      <c r="G3" s="857"/>
      <c r="H3" s="857"/>
      <c r="I3" s="857"/>
      <c r="J3" s="857"/>
      <c r="K3" s="857"/>
      <c r="L3" s="857"/>
      <c r="M3" s="857"/>
      <c r="N3" s="857"/>
      <c r="O3" s="857"/>
      <c r="P3" s="857"/>
      <c r="Q3" s="858"/>
      <c r="R3" s="79"/>
      <c r="S3" s="79"/>
      <c r="T3" s="79"/>
      <c r="U3" s="79"/>
      <c r="V3" s="79"/>
      <c r="W3" s="79"/>
      <c r="X3" s="79"/>
    </row>
    <row r="4" spans="2:33" x14ac:dyDescent="0.35">
      <c r="B4" s="79"/>
      <c r="C4" s="117"/>
      <c r="D4" s="117"/>
      <c r="E4" s="117"/>
      <c r="F4" s="117"/>
      <c r="G4" s="117"/>
      <c r="H4" s="117"/>
      <c r="I4" s="117"/>
      <c r="J4" s="117"/>
      <c r="K4" s="117"/>
      <c r="L4" s="117"/>
      <c r="M4" s="117"/>
      <c r="N4" s="117"/>
      <c r="O4" s="117"/>
      <c r="P4" s="117"/>
      <c r="Q4" s="117"/>
      <c r="R4" s="79"/>
      <c r="S4" s="79"/>
      <c r="T4" s="79"/>
      <c r="U4" s="79"/>
      <c r="V4" s="79"/>
      <c r="W4" s="79"/>
      <c r="X4" s="79"/>
    </row>
    <row r="5" spans="2:33" ht="15.5" x14ac:dyDescent="0.35">
      <c r="B5" s="79"/>
      <c r="C5" s="859" t="s">
        <v>247</v>
      </c>
      <c r="D5" s="860"/>
      <c r="E5" s="860"/>
      <c r="F5" s="860"/>
      <c r="G5" s="860"/>
      <c r="H5" s="860"/>
      <c r="I5" s="861"/>
      <c r="J5" s="115"/>
      <c r="K5" s="859" t="s">
        <v>248</v>
      </c>
      <c r="L5" s="860"/>
      <c r="M5" s="860"/>
      <c r="N5" s="860"/>
      <c r="O5" s="860"/>
      <c r="P5" s="860"/>
      <c r="Q5" s="861"/>
      <c r="R5" s="80"/>
      <c r="S5" s="80"/>
      <c r="T5" s="80"/>
      <c r="U5" s="80"/>
      <c r="V5" s="80"/>
      <c r="W5" s="80"/>
      <c r="X5" s="79"/>
    </row>
    <row r="6" spans="2:33" ht="6.75" customHeight="1" x14ac:dyDescent="0.35">
      <c r="B6" s="79"/>
      <c r="C6" s="509"/>
      <c r="D6" s="510"/>
      <c r="E6" s="510"/>
      <c r="F6" s="510"/>
      <c r="G6" s="510"/>
      <c r="H6" s="510"/>
      <c r="I6" s="511"/>
      <c r="J6" s="79"/>
      <c r="K6" s="509"/>
      <c r="L6" s="510"/>
      <c r="M6" s="510"/>
      <c r="N6" s="510"/>
      <c r="O6" s="510"/>
      <c r="P6" s="510"/>
      <c r="Q6" s="511"/>
      <c r="R6" s="80"/>
      <c r="S6" s="80"/>
      <c r="T6" s="80"/>
      <c r="U6" s="80"/>
      <c r="V6" s="80"/>
      <c r="W6" s="80"/>
      <c r="X6" s="79"/>
    </row>
    <row r="7" spans="2:33" x14ac:dyDescent="0.35">
      <c r="B7" s="79"/>
      <c r="C7" s="512"/>
      <c r="D7" s="120" t="s">
        <v>363</v>
      </c>
      <c r="E7" s="114"/>
      <c r="F7" s="114"/>
      <c r="G7" s="114"/>
      <c r="H7" s="114"/>
      <c r="I7" s="513"/>
      <c r="J7" s="79"/>
      <c r="K7" s="512"/>
      <c r="L7" s="120" t="s">
        <v>251</v>
      </c>
      <c r="M7" s="114"/>
      <c r="N7" s="114"/>
      <c r="O7" s="114"/>
      <c r="P7" s="114"/>
      <c r="Q7" s="513"/>
      <c r="R7" s="80"/>
      <c r="S7" s="80"/>
      <c r="T7" s="80"/>
      <c r="U7" s="80"/>
      <c r="V7" s="80"/>
      <c r="W7" s="80"/>
      <c r="X7" s="79"/>
    </row>
    <row r="8" spans="2:33" ht="4.5" customHeight="1" x14ac:dyDescent="0.35">
      <c r="B8" s="79"/>
      <c r="C8" s="512"/>
      <c r="D8" s="114"/>
      <c r="E8" s="114"/>
      <c r="F8" s="114"/>
      <c r="G8" s="114"/>
      <c r="H8" s="114"/>
      <c r="I8" s="513"/>
      <c r="J8" s="79"/>
      <c r="K8" s="512"/>
      <c r="L8" s="114"/>
      <c r="M8" s="114"/>
      <c r="N8" s="114"/>
      <c r="O8" s="114"/>
      <c r="P8" s="114"/>
      <c r="Q8" s="513"/>
      <c r="R8" s="80"/>
      <c r="S8" s="80"/>
      <c r="T8" s="80"/>
      <c r="U8" s="80"/>
      <c r="V8" s="80"/>
      <c r="W8" s="80"/>
      <c r="X8" s="79"/>
    </row>
    <row r="9" spans="2:33" ht="15" customHeight="1" x14ac:dyDescent="0.35">
      <c r="B9" s="79"/>
      <c r="C9" s="512"/>
      <c r="D9" s="116"/>
      <c r="E9" s="864" t="s">
        <v>252</v>
      </c>
      <c r="F9" s="862" t="s">
        <v>249</v>
      </c>
      <c r="G9" s="862" t="s">
        <v>253</v>
      </c>
      <c r="H9" s="863" t="s">
        <v>250</v>
      </c>
      <c r="I9" s="513"/>
      <c r="J9" s="80"/>
      <c r="K9" s="512"/>
      <c r="L9" s="116"/>
      <c r="M9" s="864" t="s">
        <v>231</v>
      </c>
      <c r="N9" s="862" t="s">
        <v>10</v>
      </c>
      <c r="O9" s="862" t="s">
        <v>246</v>
      </c>
      <c r="P9" s="863" t="s">
        <v>10</v>
      </c>
      <c r="Q9" s="513"/>
      <c r="R9" s="80"/>
      <c r="S9" s="80"/>
      <c r="T9" s="80"/>
      <c r="U9" s="80"/>
      <c r="V9" s="80"/>
      <c r="W9" s="80"/>
      <c r="X9" s="79"/>
    </row>
    <row r="10" spans="2:33" ht="32.25" customHeight="1" x14ac:dyDescent="0.35">
      <c r="B10" s="79"/>
      <c r="C10" s="512"/>
      <c r="D10" s="116"/>
      <c r="E10" s="864"/>
      <c r="F10" s="862"/>
      <c r="G10" s="862"/>
      <c r="H10" s="863"/>
      <c r="I10" s="513"/>
      <c r="J10" s="80"/>
      <c r="K10" s="512"/>
      <c r="L10" s="116"/>
      <c r="M10" s="864"/>
      <c r="N10" s="862"/>
      <c r="O10" s="862"/>
      <c r="P10" s="863"/>
      <c r="Q10" s="513"/>
      <c r="R10" s="80"/>
      <c r="S10" s="80"/>
      <c r="T10" s="80"/>
      <c r="U10" s="80"/>
      <c r="V10" s="80"/>
      <c r="W10" s="80"/>
      <c r="X10" s="79"/>
    </row>
    <row r="11" spans="2:33" x14ac:dyDescent="0.35">
      <c r="B11" s="79"/>
      <c r="C11" s="512"/>
      <c r="D11" s="517" t="s">
        <v>58</v>
      </c>
      <c r="E11" s="568">
        <v>1000</v>
      </c>
      <c r="F11" s="569" t="s">
        <v>223</v>
      </c>
      <c r="G11" s="518">
        <f ca="1">E11*OFFSET(F22,F26,G26)</f>
        <v>10.766666666666667</v>
      </c>
      <c r="H11" s="571" t="s">
        <v>221</v>
      </c>
      <c r="I11" s="513"/>
      <c r="J11"/>
      <c r="K11" s="512"/>
      <c r="L11" s="517" t="s">
        <v>58</v>
      </c>
      <c r="M11" s="568">
        <v>70</v>
      </c>
      <c r="N11" s="569" t="s">
        <v>63</v>
      </c>
      <c r="O11" s="518">
        <f ca="1">M11/OFFSET(F22,F27,G27)</f>
        <v>77.777777777777771</v>
      </c>
      <c r="P11" s="571" t="s">
        <v>214</v>
      </c>
      <c r="Q11" s="513"/>
      <c r="R11" s="80"/>
      <c r="S11" s="80"/>
      <c r="T11" s="80"/>
      <c r="U11" s="80"/>
      <c r="V11" s="80"/>
      <c r="W11" s="80"/>
      <c r="X11" s="79"/>
    </row>
    <row r="12" spans="2:33" x14ac:dyDescent="0.35">
      <c r="B12" s="79"/>
      <c r="C12" s="512"/>
      <c r="D12" s="519" t="s">
        <v>15</v>
      </c>
      <c r="E12" s="568">
        <v>1000</v>
      </c>
      <c r="F12" s="570" t="s">
        <v>226</v>
      </c>
      <c r="G12" s="520">
        <f ca="1">E12*OFFSET(F31,F35,G35)</f>
        <v>11100</v>
      </c>
      <c r="H12" s="572" t="s">
        <v>107</v>
      </c>
      <c r="I12" s="513"/>
      <c r="J12" s="115"/>
      <c r="K12" s="512"/>
      <c r="L12" s="519" t="s">
        <v>15</v>
      </c>
      <c r="M12" s="574">
        <v>500</v>
      </c>
      <c r="N12" s="570" t="s">
        <v>0</v>
      </c>
      <c r="O12" s="520">
        <f ca="1">M12/OFFSET(F31,F36,G36)</f>
        <v>45.045045045045043</v>
      </c>
      <c r="P12" s="572" t="s">
        <v>214</v>
      </c>
      <c r="Q12" s="513"/>
      <c r="R12" s="80"/>
      <c r="S12" s="80"/>
      <c r="T12" s="80"/>
      <c r="U12" s="80"/>
      <c r="V12" s="80"/>
      <c r="W12" s="80"/>
      <c r="X12" s="79"/>
    </row>
    <row r="13" spans="2:33" x14ac:dyDescent="0.35">
      <c r="B13" s="79"/>
      <c r="C13" s="512"/>
      <c r="D13" s="519" t="s">
        <v>128</v>
      </c>
      <c r="E13" s="568">
        <v>1000</v>
      </c>
      <c r="F13" s="570" t="s">
        <v>227</v>
      </c>
      <c r="G13" s="520">
        <f ca="1">E13*OFFSET(F40,F45,G45)</f>
        <v>10</v>
      </c>
      <c r="H13" s="572" t="s">
        <v>107</v>
      </c>
      <c r="I13" s="513"/>
      <c r="J13" s="115"/>
      <c r="K13" s="512"/>
      <c r="L13" s="519" t="s">
        <v>128</v>
      </c>
      <c r="M13" s="574">
        <v>1</v>
      </c>
      <c r="N13" s="570" t="s">
        <v>220</v>
      </c>
      <c r="O13" s="520">
        <f ca="1">M13/OFFSET(F40,F46,G46)</f>
        <v>100</v>
      </c>
      <c r="P13" s="572" t="s">
        <v>214</v>
      </c>
      <c r="Q13" s="513"/>
      <c r="R13" s="79"/>
      <c r="S13" s="79"/>
      <c r="T13" s="79"/>
      <c r="U13" s="79"/>
      <c r="V13" s="79"/>
      <c r="W13" s="79"/>
      <c r="X13" s="79"/>
    </row>
    <row r="14" spans="2:33" x14ac:dyDescent="0.35">
      <c r="B14" s="79"/>
      <c r="C14" s="512"/>
      <c r="D14" s="521" t="s">
        <v>18</v>
      </c>
      <c r="E14" s="568">
        <v>1000</v>
      </c>
      <c r="F14" s="570" t="s">
        <v>226</v>
      </c>
      <c r="G14" s="522">
        <f ca="1">E14*OFFSET(F50,F55,G55)</f>
        <v>14456.521739130436</v>
      </c>
      <c r="H14" s="573" t="s">
        <v>221</v>
      </c>
      <c r="I14" s="513"/>
      <c r="J14" s="115"/>
      <c r="K14" s="512"/>
      <c r="L14" s="521" t="s">
        <v>18</v>
      </c>
      <c r="M14" s="574">
        <v>1500</v>
      </c>
      <c r="N14" s="570" t="s">
        <v>0</v>
      </c>
      <c r="O14" s="522">
        <f ca="1">M14/OFFSET(F50,F56,G56)</f>
        <v>112.78195488721803</v>
      </c>
      <c r="P14" s="573" t="s">
        <v>214</v>
      </c>
      <c r="Q14" s="513"/>
      <c r="R14" s="79"/>
      <c r="S14" s="79"/>
      <c r="T14" s="79"/>
      <c r="U14" s="79"/>
      <c r="V14" s="79"/>
      <c r="W14" s="79"/>
      <c r="X14" s="79"/>
    </row>
    <row r="15" spans="2:33" x14ac:dyDescent="0.35">
      <c r="B15" s="79"/>
      <c r="C15" s="514"/>
      <c r="D15" s="515"/>
      <c r="E15" s="515"/>
      <c r="F15" s="515"/>
      <c r="G15" s="515"/>
      <c r="H15" s="515"/>
      <c r="I15" s="516"/>
      <c r="J15" s="79"/>
      <c r="K15" s="514"/>
      <c r="L15" s="515"/>
      <c r="M15" s="515"/>
      <c r="N15" s="515"/>
      <c r="O15" s="515"/>
      <c r="P15" s="515"/>
      <c r="Q15" s="516"/>
      <c r="R15" s="79"/>
      <c r="S15" s="79"/>
      <c r="T15" s="79"/>
      <c r="U15" s="79"/>
      <c r="V15" s="79"/>
      <c r="W15" s="79"/>
      <c r="X15" s="79"/>
    </row>
    <row r="16" spans="2:33" x14ac:dyDescent="0.35">
      <c r="B16" s="79"/>
      <c r="C16" s="79"/>
      <c r="D16" s="79"/>
      <c r="E16" s="79"/>
      <c r="F16" s="79"/>
      <c r="G16" s="79"/>
      <c r="H16" s="79"/>
      <c r="I16" s="79"/>
      <c r="J16" s="79"/>
      <c r="K16" s="79"/>
      <c r="L16" s="79"/>
      <c r="M16" s="79"/>
      <c r="N16" s="79"/>
      <c r="O16" s="79"/>
      <c r="P16" s="79"/>
      <c r="Q16" s="79"/>
      <c r="R16" s="79"/>
      <c r="S16" s="79"/>
      <c r="T16" s="79"/>
      <c r="U16" s="79"/>
      <c r="V16" s="79"/>
      <c r="W16" s="79"/>
      <c r="X16" s="79"/>
    </row>
    <row r="17" spans="2:24" x14ac:dyDescent="0.35">
      <c r="B17" s="79"/>
      <c r="R17" s="79"/>
      <c r="S17" s="79"/>
      <c r="T17" s="79"/>
      <c r="U17" s="79"/>
      <c r="V17" s="79"/>
      <c r="W17" s="79"/>
      <c r="X17" s="79"/>
    </row>
    <row r="18" spans="2:24" hidden="1" x14ac:dyDescent="0.35">
      <c r="B18" s="79"/>
      <c r="C18" s="79"/>
      <c r="G18" s="79"/>
      <c r="H18" s="79"/>
      <c r="I18" s="79"/>
      <c r="J18" s="79"/>
      <c r="K18" s="79"/>
      <c r="L18" s="79"/>
      <c r="M18" s="79"/>
      <c r="N18" s="79"/>
      <c r="O18" s="79"/>
      <c r="P18" s="79"/>
      <c r="Q18" s="79"/>
      <c r="R18" s="79"/>
      <c r="S18" s="79"/>
      <c r="T18" s="79"/>
      <c r="U18" s="79"/>
      <c r="V18" s="79"/>
      <c r="W18" s="79"/>
      <c r="X18" s="79"/>
    </row>
    <row r="19" spans="2:24" hidden="1" x14ac:dyDescent="0.35">
      <c r="B19" s="79"/>
      <c r="C19" s="79"/>
      <c r="F19" s="102" t="s">
        <v>228</v>
      </c>
      <c r="G19" s="103" t="s">
        <v>229</v>
      </c>
      <c r="H19" s="104" t="s">
        <v>230</v>
      </c>
      <c r="I19"/>
      <c r="J19"/>
      <c r="L19"/>
      <c r="M19"/>
      <c r="N19"/>
      <c r="O19"/>
      <c r="P19"/>
      <c r="R19" s="79"/>
      <c r="S19" s="79"/>
      <c r="T19" s="79"/>
      <c r="U19" s="79"/>
      <c r="V19" s="79"/>
      <c r="W19" s="79"/>
      <c r="X19" s="79"/>
    </row>
    <row r="20" spans="2:24" hidden="1" x14ac:dyDescent="0.35">
      <c r="B20" s="79"/>
      <c r="C20" s="79"/>
      <c r="D20" t="s">
        <v>222</v>
      </c>
      <c r="I20"/>
      <c r="J20"/>
      <c r="L20"/>
      <c r="M20"/>
      <c r="N20"/>
      <c r="O20"/>
      <c r="P20"/>
      <c r="R20" s="79"/>
      <c r="S20" s="79"/>
      <c r="T20" s="79"/>
      <c r="U20" s="79"/>
      <c r="V20" s="79"/>
      <c r="W20" s="79"/>
      <c r="X20" s="79"/>
    </row>
    <row r="21" spans="2:24" ht="15" hidden="1" thickBot="1" x14ac:dyDescent="0.4">
      <c r="B21" s="79"/>
      <c r="C21" s="79"/>
      <c r="E21" s="81" t="s">
        <v>224</v>
      </c>
      <c r="F21" s="23" t="s">
        <v>221</v>
      </c>
      <c r="G21" s="23" t="s">
        <v>107</v>
      </c>
      <c r="H21" s="23" t="s">
        <v>223</v>
      </c>
      <c r="I21"/>
      <c r="J21"/>
      <c r="L21"/>
      <c r="M21"/>
      <c r="N21"/>
      <c r="O21"/>
      <c r="P21"/>
      <c r="R21" s="79"/>
      <c r="S21" s="79"/>
      <c r="T21" s="79"/>
      <c r="U21" s="79"/>
      <c r="V21" s="79"/>
      <c r="W21" s="79"/>
      <c r="X21" s="79"/>
    </row>
    <row r="22" spans="2:24" hidden="1" x14ac:dyDescent="0.35">
      <c r="B22" s="79"/>
      <c r="C22" s="79"/>
      <c r="E22" s="23" t="s">
        <v>221</v>
      </c>
      <c r="F22" s="85">
        <v>1</v>
      </c>
      <c r="G22" s="88">
        <v>0.9</v>
      </c>
      <c r="H22" s="105">
        <f>1/F24</f>
        <v>92.879256965944265</v>
      </c>
      <c r="I22"/>
      <c r="J22" t="s">
        <v>221</v>
      </c>
      <c r="K22">
        <v>0</v>
      </c>
      <c r="L22"/>
      <c r="M22" s="23" t="s">
        <v>63</v>
      </c>
      <c r="N22">
        <v>0</v>
      </c>
      <c r="O22"/>
      <c r="P22"/>
      <c r="R22" s="79"/>
      <c r="S22" s="79"/>
      <c r="T22" s="79"/>
      <c r="U22" s="79"/>
      <c r="V22" s="79"/>
      <c r="W22" s="79"/>
      <c r="X22" s="79"/>
    </row>
    <row r="23" spans="2:24" hidden="1" x14ac:dyDescent="0.35">
      <c r="B23" s="79"/>
      <c r="C23" s="79"/>
      <c r="E23" s="23" t="s">
        <v>107</v>
      </c>
      <c r="F23" s="108">
        <f>1/G22</f>
        <v>1.1111111111111112</v>
      </c>
      <c r="G23" s="86">
        <v>1</v>
      </c>
      <c r="H23" s="106">
        <f>1/G24</f>
        <v>103.19917440660474</v>
      </c>
      <c r="I23"/>
      <c r="J23" s="23" t="s">
        <v>107</v>
      </c>
      <c r="K23">
        <v>1</v>
      </c>
      <c r="L23"/>
      <c r="M23" s="23" t="s">
        <v>214</v>
      </c>
      <c r="N23">
        <v>1</v>
      </c>
      <c r="O23"/>
      <c r="P23"/>
      <c r="R23" s="79"/>
      <c r="S23" s="79"/>
      <c r="T23" s="79"/>
      <c r="U23" s="79"/>
      <c r="V23" s="79"/>
      <c r="W23" s="79"/>
      <c r="X23" s="79"/>
    </row>
    <row r="24" spans="2:24" ht="15" hidden="1" thickBot="1" x14ac:dyDescent="0.4">
      <c r="B24" s="79"/>
      <c r="C24" s="79"/>
      <c r="E24" s="23" t="s">
        <v>223</v>
      </c>
      <c r="F24" s="91">
        <f>G24*F23</f>
        <v>1.0766666666666667E-2</v>
      </c>
      <c r="G24" s="89">
        <v>9.6900000000000007E-3</v>
      </c>
      <c r="H24" s="87">
        <v>1</v>
      </c>
      <c r="I24"/>
      <c r="J24" t="s">
        <v>223</v>
      </c>
      <c r="K24">
        <v>2</v>
      </c>
      <c r="L24"/>
      <c r="M24" s="23" t="s">
        <v>89</v>
      </c>
      <c r="N24">
        <v>2</v>
      </c>
      <c r="O24"/>
      <c r="P24"/>
      <c r="R24" s="79"/>
      <c r="S24" s="79"/>
      <c r="T24" s="79"/>
      <c r="U24" s="79"/>
      <c r="V24" s="79"/>
      <c r="W24" s="79"/>
      <c r="X24" s="79"/>
    </row>
    <row r="25" spans="2:24" ht="15" hidden="1" thickBot="1" x14ac:dyDescent="0.4">
      <c r="B25" s="79"/>
      <c r="C25" s="79"/>
      <c r="I25"/>
      <c r="J25"/>
      <c r="L25"/>
      <c r="M25"/>
      <c r="N25"/>
      <c r="O25"/>
      <c r="P25"/>
      <c r="R25" s="79"/>
      <c r="S25" s="79"/>
      <c r="T25" s="79"/>
      <c r="U25" s="79"/>
      <c r="V25" s="79"/>
      <c r="W25" s="79"/>
      <c r="X25" s="79"/>
    </row>
    <row r="26" spans="2:24" ht="15" hidden="1" thickBot="1" x14ac:dyDescent="0.4">
      <c r="B26" s="79"/>
      <c r="C26" s="79"/>
      <c r="E26" t="s">
        <v>225</v>
      </c>
      <c r="F26" s="21">
        <f>VLOOKUP(F11,J22:K24,2,FALSE)</f>
        <v>2</v>
      </c>
      <c r="G26" s="22">
        <f>VLOOKUP(H11,J22:K24,2,FALSE)</f>
        <v>0</v>
      </c>
      <c r="I26"/>
      <c r="J26"/>
      <c r="L26"/>
      <c r="M26"/>
      <c r="N26"/>
      <c r="O26"/>
      <c r="P26"/>
      <c r="R26" s="79"/>
      <c r="S26" s="79"/>
      <c r="T26" s="79"/>
      <c r="U26" s="79"/>
      <c r="V26" s="79"/>
      <c r="W26" s="79"/>
      <c r="X26" s="79"/>
    </row>
    <row r="27" spans="2:24" ht="15" hidden="1" thickBot="1" x14ac:dyDescent="0.4">
      <c r="B27" s="79"/>
      <c r="C27" s="79"/>
      <c r="F27" s="21">
        <f>VLOOKUP(N11,M22:N24,2,FALSE)</f>
        <v>0</v>
      </c>
      <c r="G27" s="22">
        <f>VLOOKUP(P11,M22:N24,2,FALSE)</f>
        <v>1</v>
      </c>
      <c r="I27"/>
      <c r="J27"/>
      <c r="L27"/>
      <c r="M27"/>
      <c r="N27"/>
      <c r="O27"/>
      <c r="P27"/>
      <c r="R27" s="79"/>
      <c r="S27" s="79"/>
      <c r="T27" s="79"/>
      <c r="U27" s="79"/>
      <c r="V27" s="79"/>
      <c r="W27" s="79"/>
    </row>
    <row r="28" spans="2:24" hidden="1" x14ac:dyDescent="0.35">
      <c r="B28" s="79"/>
      <c r="C28" s="79"/>
      <c r="I28"/>
      <c r="J28"/>
      <c r="L28"/>
      <c r="M28"/>
      <c r="N28"/>
      <c r="O28"/>
      <c r="P28"/>
      <c r="R28" s="79"/>
      <c r="S28" s="79"/>
      <c r="T28" s="79"/>
      <c r="U28" s="79"/>
      <c r="V28" s="79"/>
      <c r="W28" s="79"/>
      <c r="X28" s="79"/>
    </row>
    <row r="29" spans="2:24" hidden="1" x14ac:dyDescent="0.35">
      <c r="B29" s="79"/>
      <c r="C29" s="79"/>
      <c r="D29" s="23" t="s">
        <v>186</v>
      </c>
      <c r="E29" s="23"/>
      <c r="F29" s="23"/>
      <c r="G29" s="23"/>
      <c r="H29" s="23"/>
      <c r="I29"/>
      <c r="J29"/>
      <c r="L29"/>
      <c r="M29"/>
      <c r="N29"/>
      <c r="O29"/>
      <c r="P29"/>
      <c r="R29" s="79"/>
      <c r="S29" s="79"/>
      <c r="T29" s="79"/>
      <c r="U29" s="79"/>
      <c r="V29" s="79"/>
      <c r="W29" s="79"/>
      <c r="X29" s="79"/>
    </row>
    <row r="30" spans="2:24" ht="15" hidden="1" thickBot="1" x14ac:dyDescent="0.4">
      <c r="B30" s="79"/>
      <c r="C30" s="79"/>
      <c r="D30" s="23"/>
      <c r="E30" s="81" t="s">
        <v>224</v>
      </c>
      <c r="F30" s="23" t="s">
        <v>226</v>
      </c>
      <c r="G30" s="23" t="s">
        <v>107</v>
      </c>
      <c r="H30" s="23" t="s">
        <v>221</v>
      </c>
      <c r="I30"/>
      <c r="J30"/>
      <c r="L30"/>
      <c r="M30"/>
      <c r="N30"/>
      <c r="O30"/>
      <c r="P30"/>
      <c r="R30" s="79"/>
      <c r="S30" s="79"/>
      <c r="T30" s="79"/>
      <c r="U30" s="79"/>
      <c r="V30" s="79"/>
      <c r="W30" s="79"/>
      <c r="X30" s="79"/>
    </row>
    <row r="31" spans="2:24" hidden="1" x14ac:dyDescent="0.35">
      <c r="B31" s="79"/>
      <c r="C31" s="79"/>
      <c r="D31" s="23"/>
      <c r="E31" s="23" t="s">
        <v>226</v>
      </c>
      <c r="F31" s="85">
        <v>1</v>
      </c>
      <c r="G31" s="88">
        <v>11.1</v>
      </c>
      <c r="H31" s="93">
        <f>G31*H32</f>
        <v>11.708860759493671</v>
      </c>
      <c r="I31"/>
      <c r="J31" t="s">
        <v>226</v>
      </c>
      <c r="K31">
        <v>0</v>
      </c>
      <c r="L31"/>
      <c r="M31" s="23" t="s">
        <v>0</v>
      </c>
      <c r="N31">
        <v>0</v>
      </c>
      <c r="O31"/>
      <c r="P31"/>
      <c r="R31" s="79"/>
      <c r="S31" s="79"/>
      <c r="T31" s="79"/>
      <c r="U31" s="79"/>
      <c r="V31" s="79"/>
      <c r="W31" s="79"/>
      <c r="X31" s="79"/>
    </row>
    <row r="32" spans="2:24" hidden="1" x14ac:dyDescent="0.35">
      <c r="B32" s="79"/>
      <c r="C32" s="79"/>
      <c r="D32" s="23"/>
      <c r="E32" s="23" t="s">
        <v>107</v>
      </c>
      <c r="F32" s="108">
        <f>1/G31</f>
        <v>9.00900900900901E-2</v>
      </c>
      <c r="G32" s="86">
        <v>1</v>
      </c>
      <c r="H32" s="106">
        <f>1/G33</f>
        <v>1.0548523206751055</v>
      </c>
      <c r="I32"/>
      <c r="J32" t="s">
        <v>107</v>
      </c>
      <c r="K32">
        <v>1</v>
      </c>
      <c r="L32"/>
      <c r="M32" s="23" t="s">
        <v>214</v>
      </c>
      <c r="N32">
        <v>1</v>
      </c>
      <c r="O32"/>
      <c r="P32"/>
      <c r="R32" s="79"/>
      <c r="S32" s="79"/>
      <c r="T32" s="79"/>
      <c r="U32" s="79"/>
      <c r="V32" s="79"/>
      <c r="W32" s="79"/>
      <c r="X32" s="79"/>
    </row>
    <row r="33" spans="2:24" ht="15" hidden="1" thickBot="1" x14ac:dyDescent="0.4">
      <c r="B33" s="79"/>
      <c r="C33" s="79"/>
      <c r="D33" s="23"/>
      <c r="E33" s="23" t="s">
        <v>221</v>
      </c>
      <c r="F33" s="107">
        <f>1/H31</f>
        <v>8.5405405405405407E-2</v>
      </c>
      <c r="G33" s="89">
        <v>0.94799999999999995</v>
      </c>
      <c r="H33" s="87">
        <v>1</v>
      </c>
      <c r="I33"/>
      <c r="J33" t="s">
        <v>221</v>
      </c>
      <c r="K33">
        <v>2</v>
      </c>
      <c r="L33"/>
      <c r="M33" s="23" t="s">
        <v>63</v>
      </c>
      <c r="N33">
        <v>2</v>
      </c>
      <c r="O33"/>
      <c r="P33"/>
      <c r="R33" s="79"/>
      <c r="S33" s="79"/>
      <c r="T33" s="79"/>
      <c r="U33" s="79"/>
      <c r="V33" s="79"/>
      <c r="W33" s="79"/>
      <c r="X33" s="79"/>
    </row>
    <row r="34" spans="2:24" hidden="1" x14ac:dyDescent="0.35">
      <c r="B34" s="79"/>
      <c r="C34" s="79"/>
      <c r="D34" s="23"/>
      <c r="E34" s="23"/>
      <c r="F34" s="23"/>
      <c r="G34" s="23"/>
      <c r="H34" s="23"/>
      <c r="I34"/>
      <c r="J34"/>
      <c r="L34"/>
      <c r="M34"/>
      <c r="N34"/>
      <c r="O34"/>
      <c r="P34"/>
      <c r="R34" s="79"/>
      <c r="S34" s="79"/>
      <c r="T34" s="79"/>
      <c r="U34" s="79"/>
      <c r="V34" s="79"/>
      <c r="W34" s="79"/>
      <c r="X34" s="79"/>
    </row>
    <row r="35" spans="2:24" hidden="1" x14ac:dyDescent="0.35">
      <c r="B35" s="79"/>
      <c r="C35" s="79"/>
      <c r="D35" s="23"/>
      <c r="E35" s="23" t="s">
        <v>225</v>
      </c>
      <c r="F35" s="23">
        <f>VLOOKUP(F12,J31:K33,2,FALSE)</f>
        <v>0</v>
      </c>
      <c r="G35" s="23">
        <f>VLOOKUP(H12,J31:K33,2,FALSE)</f>
        <v>1</v>
      </c>
      <c r="H35" s="23"/>
      <c r="I35"/>
      <c r="J35"/>
      <c r="L35"/>
      <c r="M35"/>
      <c r="N35"/>
      <c r="O35"/>
      <c r="P35"/>
      <c r="R35" s="79"/>
      <c r="S35" s="79"/>
      <c r="T35" s="79"/>
      <c r="U35" s="79"/>
      <c r="V35" s="79"/>
      <c r="W35" s="79"/>
      <c r="X35" s="79"/>
    </row>
    <row r="36" spans="2:24" hidden="1" x14ac:dyDescent="0.35">
      <c r="B36" s="79"/>
      <c r="C36" s="79"/>
      <c r="F36" s="23">
        <f>VLOOKUP(N12,M31:N33,2,FALSE)</f>
        <v>0</v>
      </c>
      <c r="G36" s="23">
        <f>VLOOKUP(P12,M31:N33,2,FALSE)</f>
        <v>1</v>
      </c>
      <c r="I36"/>
      <c r="J36"/>
      <c r="L36"/>
      <c r="M36"/>
      <c r="N36"/>
      <c r="O36"/>
      <c r="P36"/>
      <c r="R36" s="79"/>
      <c r="S36" s="79"/>
      <c r="T36" s="79"/>
      <c r="U36" s="79"/>
      <c r="V36" s="79"/>
      <c r="W36" s="79"/>
      <c r="X36" s="79"/>
    </row>
    <row r="37" spans="2:24" hidden="1" x14ac:dyDescent="0.35">
      <c r="B37" s="79"/>
      <c r="C37" s="79"/>
      <c r="D37" s="23"/>
      <c r="E37" s="23"/>
      <c r="I37"/>
      <c r="J37"/>
      <c r="L37"/>
      <c r="M37"/>
      <c r="N37"/>
      <c r="O37"/>
      <c r="P37"/>
      <c r="R37" s="79"/>
      <c r="S37" s="79"/>
      <c r="T37" s="79"/>
      <c r="U37" s="79"/>
      <c r="V37" s="79"/>
      <c r="W37" s="79"/>
      <c r="X37" s="79"/>
    </row>
    <row r="38" spans="2:24" hidden="1" x14ac:dyDescent="0.35">
      <c r="B38" s="79"/>
      <c r="C38" s="79"/>
      <c r="D38" s="23" t="s">
        <v>128</v>
      </c>
      <c r="E38" s="23"/>
      <c r="F38" s="23"/>
      <c r="G38" s="23"/>
      <c r="H38" s="23"/>
      <c r="I38"/>
      <c r="J38"/>
      <c r="L38"/>
      <c r="M38"/>
      <c r="N38"/>
      <c r="O38"/>
      <c r="P38"/>
      <c r="R38" s="79"/>
      <c r="S38" s="79"/>
      <c r="T38" s="79"/>
      <c r="U38" s="79"/>
      <c r="V38" s="79"/>
      <c r="W38" s="79"/>
      <c r="X38" s="79"/>
    </row>
    <row r="39" spans="2:24" ht="15" hidden="1" thickBot="1" x14ac:dyDescent="0.4">
      <c r="B39" s="79"/>
      <c r="C39" s="79"/>
      <c r="D39" s="23"/>
      <c r="E39" s="81" t="s">
        <v>224</v>
      </c>
      <c r="F39" s="23" t="s">
        <v>226</v>
      </c>
      <c r="G39" t="s">
        <v>227</v>
      </c>
      <c r="H39" s="23" t="s">
        <v>107</v>
      </c>
      <c r="I39" s="23" t="s">
        <v>221</v>
      </c>
      <c r="J39"/>
      <c r="L39"/>
      <c r="M39"/>
      <c r="N39"/>
      <c r="O39"/>
      <c r="P39"/>
      <c r="R39" s="79"/>
      <c r="S39" s="79"/>
      <c r="T39" s="79"/>
      <c r="U39" s="79"/>
      <c r="V39" s="79"/>
      <c r="W39" s="79"/>
      <c r="X39" s="79"/>
    </row>
    <row r="40" spans="2:24" hidden="1" x14ac:dyDescent="0.35">
      <c r="B40" s="79"/>
      <c r="C40" s="79"/>
      <c r="D40" s="23"/>
      <c r="E40" s="23" t="s">
        <v>226</v>
      </c>
      <c r="F40" s="85">
        <v>1</v>
      </c>
      <c r="G40" s="88">
        <v>1180</v>
      </c>
      <c r="H40" s="90">
        <v>11.8</v>
      </c>
      <c r="I40" s="100">
        <f>H40*I42</f>
        <v>12.688172043010752</v>
      </c>
      <c r="J40" s="23" t="s">
        <v>226</v>
      </c>
      <c r="K40" s="23">
        <v>0</v>
      </c>
      <c r="L40"/>
      <c r="M40" s="23" t="s">
        <v>0</v>
      </c>
      <c r="N40">
        <v>0</v>
      </c>
      <c r="O40"/>
      <c r="P40"/>
      <c r="R40" s="79"/>
      <c r="S40" s="79"/>
      <c r="T40" s="79"/>
      <c r="U40" s="79"/>
      <c r="V40" s="79"/>
      <c r="W40" s="79"/>
      <c r="X40" s="79"/>
    </row>
    <row r="41" spans="2:24" hidden="1" x14ac:dyDescent="0.35">
      <c r="B41" s="79"/>
      <c r="C41" s="79"/>
      <c r="D41" s="23"/>
      <c r="E41" t="s">
        <v>227</v>
      </c>
      <c r="F41" s="108">
        <f>1/G40</f>
        <v>8.4745762711864404E-4</v>
      </c>
      <c r="G41" s="86">
        <v>1</v>
      </c>
      <c r="H41" s="101">
        <f>H40*F41</f>
        <v>0.01</v>
      </c>
      <c r="I41" s="92">
        <f>H41*I42</f>
        <v>1.075268817204301E-2</v>
      </c>
      <c r="J41" t="s">
        <v>227</v>
      </c>
      <c r="K41">
        <v>1</v>
      </c>
      <c r="L41"/>
      <c r="M41" s="23" t="s">
        <v>220</v>
      </c>
      <c r="N41">
        <v>1</v>
      </c>
      <c r="O41"/>
      <c r="P41"/>
      <c r="R41" s="79"/>
      <c r="S41" s="79"/>
      <c r="T41" s="79"/>
      <c r="U41" s="79"/>
      <c r="V41" s="79"/>
      <c r="W41" s="79"/>
      <c r="X41" s="79"/>
    </row>
    <row r="42" spans="2:24" hidden="1" x14ac:dyDescent="0.35">
      <c r="B42" s="79"/>
      <c r="C42" s="79"/>
      <c r="D42" s="23"/>
      <c r="E42" s="23" t="s">
        <v>107</v>
      </c>
      <c r="F42" s="95">
        <f>1/H40</f>
        <v>8.4745762711864403E-2</v>
      </c>
      <c r="G42" s="109">
        <f>1/H41</f>
        <v>100</v>
      </c>
      <c r="H42" s="86">
        <v>1</v>
      </c>
      <c r="I42" s="99">
        <f>1/H43</f>
        <v>1.075268817204301</v>
      </c>
      <c r="J42" s="23" t="s">
        <v>107</v>
      </c>
      <c r="K42" s="23">
        <v>2</v>
      </c>
      <c r="L42"/>
      <c r="M42" s="23" t="s">
        <v>214</v>
      </c>
      <c r="N42">
        <v>2</v>
      </c>
      <c r="O42"/>
      <c r="P42"/>
      <c r="R42" s="79"/>
      <c r="S42" s="79"/>
      <c r="T42" s="79"/>
      <c r="U42" s="79"/>
      <c r="V42" s="79"/>
      <c r="W42" s="79"/>
      <c r="X42" s="79"/>
    </row>
    <row r="43" spans="2:24" ht="15" hidden="1" thickBot="1" x14ac:dyDescent="0.4">
      <c r="B43" s="79"/>
      <c r="C43" s="79"/>
      <c r="D43" s="23"/>
      <c r="E43" s="23" t="s">
        <v>221</v>
      </c>
      <c r="F43" s="96">
        <f>1/I40</f>
        <v>7.8813559322033905E-2</v>
      </c>
      <c r="G43" s="97">
        <f>1/I41</f>
        <v>93.000000000000014</v>
      </c>
      <c r="H43" s="84">
        <v>0.93</v>
      </c>
      <c r="I43" s="87">
        <v>1</v>
      </c>
      <c r="J43" s="23" t="s">
        <v>221</v>
      </c>
      <c r="K43" s="23">
        <v>3</v>
      </c>
      <c r="L43"/>
      <c r="M43" s="23" t="s">
        <v>63</v>
      </c>
      <c r="N43">
        <v>3</v>
      </c>
      <c r="O43"/>
      <c r="P43"/>
      <c r="R43" s="79"/>
      <c r="S43" s="79"/>
      <c r="T43" s="79"/>
      <c r="U43" s="79"/>
      <c r="V43" s="79"/>
      <c r="W43" s="79"/>
      <c r="X43" s="79"/>
    </row>
    <row r="44" spans="2:24" hidden="1" x14ac:dyDescent="0.35">
      <c r="B44" s="79"/>
      <c r="C44" s="79"/>
      <c r="D44" s="23"/>
      <c r="H44" s="23"/>
      <c r="I44"/>
      <c r="J44"/>
      <c r="L44"/>
      <c r="M44"/>
      <c r="N44"/>
      <c r="O44"/>
      <c r="P44"/>
      <c r="R44" s="79"/>
      <c r="S44" s="79"/>
      <c r="T44" s="79"/>
      <c r="U44" s="79"/>
      <c r="V44" s="79"/>
      <c r="W44" s="79"/>
      <c r="X44" s="79"/>
    </row>
    <row r="45" spans="2:24" hidden="1" x14ac:dyDescent="0.35">
      <c r="B45" s="79"/>
      <c r="C45" s="79"/>
      <c r="E45" s="23" t="s">
        <v>225</v>
      </c>
      <c r="F45" s="23">
        <f>VLOOKUP(F13,J40:K43,2,FALSE)</f>
        <v>1</v>
      </c>
      <c r="G45" s="23">
        <f>VLOOKUP(H13,J40:K43,2,FALSE)</f>
        <v>2</v>
      </c>
      <c r="I45"/>
      <c r="J45"/>
      <c r="L45"/>
      <c r="M45"/>
      <c r="N45"/>
      <c r="O45"/>
      <c r="P45"/>
      <c r="R45" s="79"/>
      <c r="S45" s="79"/>
      <c r="T45" s="79"/>
      <c r="U45" s="79"/>
      <c r="V45" s="79"/>
      <c r="W45" s="79"/>
      <c r="X45" s="79"/>
    </row>
    <row r="46" spans="2:24" hidden="1" x14ac:dyDescent="0.35">
      <c r="B46" s="79"/>
      <c r="C46" s="79"/>
      <c r="F46" s="23">
        <f>VLOOKUP(N13,M40:N43,2,FALSE)</f>
        <v>1</v>
      </c>
      <c r="G46" s="23">
        <f>VLOOKUP(P13,M40:N43,2,FALSE)</f>
        <v>2</v>
      </c>
      <c r="I46"/>
      <c r="J46"/>
      <c r="L46"/>
      <c r="M46"/>
      <c r="N46"/>
      <c r="O46"/>
      <c r="P46"/>
      <c r="R46" s="79"/>
      <c r="S46" s="79"/>
      <c r="T46" s="79"/>
      <c r="U46" s="79"/>
      <c r="V46" s="79"/>
      <c r="W46" s="79"/>
      <c r="X46" s="79"/>
    </row>
    <row r="47" spans="2:24" hidden="1" x14ac:dyDescent="0.35">
      <c r="B47" s="79"/>
      <c r="C47" s="79"/>
      <c r="G47" s="78"/>
      <c r="I47"/>
      <c r="J47"/>
      <c r="L47"/>
      <c r="M47"/>
      <c r="N47"/>
      <c r="O47"/>
      <c r="P47"/>
      <c r="R47" s="79"/>
      <c r="S47" s="79"/>
      <c r="T47" s="79"/>
      <c r="U47" s="79"/>
      <c r="V47" s="79"/>
      <c r="W47" s="79"/>
      <c r="X47" s="79"/>
    </row>
    <row r="48" spans="2:24" hidden="1" x14ac:dyDescent="0.35">
      <c r="B48" s="79"/>
      <c r="C48" s="79"/>
      <c r="D48" s="23" t="s">
        <v>18</v>
      </c>
      <c r="E48" s="23"/>
      <c r="F48" s="23"/>
      <c r="G48" s="23"/>
      <c r="H48" s="23"/>
      <c r="K48" s="23"/>
      <c r="L48"/>
      <c r="M48"/>
      <c r="N48"/>
      <c r="O48"/>
      <c r="P48"/>
      <c r="R48" s="79"/>
      <c r="S48" s="79"/>
      <c r="T48" s="79"/>
      <c r="U48" s="79"/>
      <c r="V48" s="79"/>
      <c r="W48" s="79"/>
      <c r="X48" s="79"/>
    </row>
    <row r="49" spans="2:24" ht="15" hidden="1" thickBot="1" x14ac:dyDescent="0.4">
      <c r="B49" s="79"/>
      <c r="C49" s="79"/>
      <c r="D49" s="23"/>
      <c r="E49" s="81" t="s">
        <v>224</v>
      </c>
      <c r="F49" s="23" t="s">
        <v>226</v>
      </c>
      <c r="G49" s="23" t="s">
        <v>227</v>
      </c>
      <c r="H49" s="23" t="s">
        <v>107</v>
      </c>
      <c r="I49" s="23" t="s">
        <v>221</v>
      </c>
      <c r="K49" s="23"/>
      <c r="L49"/>
      <c r="M49"/>
      <c r="N49"/>
      <c r="O49"/>
      <c r="P49"/>
      <c r="R49" s="79"/>
      <c r="S49" s="79"/>
      <c r="T49" s="79"/>
      <c r="U49" s="79"/>
      <c r="V49" s="79"/>
      <c r="W49" s="79"/>
      <c r="X49" s="79"/>
    </row>
    <row r="50" spans="2:24" hidden="1" x14ac:dyDescent="0.35">
      <c r="B50" s="79"/>
      <c r="C50" s="79"/>
      <c r="D50" s="23"/>
      <c r="E50" s="23" t="s">
        <v>226</v>
      </c>
      <c r="F50" s="85">
        <v>1</v>
      </c>
      <c r="G50" s="94">
        <f>1/F51</f>
        <v>1818.181818181818</v>
      </c>
      <c r="H50" s="83">
        <v>13.3</v>
      </c>
      <c r="I50" s="100">
        <f>H50*I52</f>
        <v>14.456521739130435</v>
      </c>
      <c r="J50" s="23" t="s">
        <v>226</v>
      </c>
      <c r="K50" s="23">
        <v>0</v>
      </c>
      <c r="L50"/>
      <c r="M50" s="23" t="s">
        <v>0</v>
      </c>
      <c r="N50">
        <v>0</v>
      </c>
      <c r="O50"/>
      <c r="P50"/>
      <c r="R50" s="79"/>
      <c r="S50" s="79"/>
      <c r="T50" s="79"/>
      <c r="U50" s="79"/>
      <c r="V50" s="79"/>
      <c r="W50" s="79"/>
      <c r="X50" s="79"/>
    </row>
    <row r="51" spans="2:24" hidden="1" x14ac:dyDescent="0.35">
      <c r="B51" s="79"/>
      <c r="C51" s="79"/>
      <c r="D51" s="23"/>
      <c r="E51" s="23" t="s">
        <v>227</v>
      </c>
      <c r="F51" s="82">
        <v>5.5000000000000003E-4</v>
      </c>
      <c r="G51" s="86">
        <v>1</v>
      </c>
      <c r="H51" s="98">
        <f>1/G52</f>
        <v>7.3150000000000003E-3</v>
      </c>
      <c r="I51" s="92">
        <f>H51*I52</f>
        <v>7.9510869565217399E-3</v>
      </c>
      <c r="J51" s="23" t="s">
        <v>227</v>
      </c>
      <c r="K51" s="23">
        <v>1</v>
      </c>
      <c r="L51"/>
      <c r="M51" s="23" t="s">
        <v>220</v>
      </c>
      <c r="N51">
        <v>1</v>
      </c>
      <c r="O51"/>
      <c r="P51"/>
      <c r="R51" s="79"/>
      <c r="S51" s="79"/>
      <c r="T51" s="79"/>
      <c r="U51" s="79"/>
      <c r="V51" s="79"/>
      <c r="W51" s="79"/>
      <c r="X51" s="79"/>
    </row>
    <row r="52" spans="2:24" hidden="1" x14ac:dyDescent="0.35">
      <c r="D52" s="23"/>
      <c r="E52" s="23" t="s">
        <v>107</v>
      </c>
      <c r="F52" s="95">
        <f>1/H50</f>
        <v>7.5187969924812026E-2</v>
      </c>
      <c r="G52" s="101">
        <f>G50*F52</f>
        <v>136.70539986329459</v>
      </c>
      <c r="H52" s="86">
        <v>1</v>
      </c>
      <c r="I52" s="99">
        <f>1/H53</f>
        <v>1.0869565217391304</v>
      </c>
      <c r="J52" s="23" t="s">
        <v>107</v>
      </c>
      <c r="K52" s="23">
        <v>2</v>
      </c>
      <c r="L52"/>
      <c r="M52" s="23" t="s">
        <v>214</v>
      </c>
      <c r="N52">
        <v>2</v>
      </c>
      <c r="O52"/>
      <c r="P52"/>
    </row>
    <row r="53" spans="2:24" ht="15" hidden="1" thickBot="1" x14ac:dyDescent="0.4">
      <c r="D53" s="23"/>
      <c r="E53" s="23" t="s">
        <v>221</v>
      </c>
      <c r="F53" s="96">
        <f>1/I50</f>
        <v>6.9172932330827067E-2</v>
      </c>
      <c r="G53" s="97">
        <f>1/I51</f>
        <v>125.76896787423102</v>
      </c>
      <c r="H53" s="84">
        <v>0.92</v>
      </c>
      <c r="I53" s="87">
        <v>1</v>
      </c>
      <c r="J53" s="23" t="s">
        <v>221</v>
      </c>
      <c r="K53" s="23">
        <v>3</v>
      </c>
      <c r="L53"/>
      <c r="M53" s="23" t="s">
        <v>63</v>
      </c>
      <c r="N53">
        <v>3</v>
      </c>
      <c r="O53"/>
      <c r="P53"/>
    </row>
    <row r="54" spans="2:24" hidden="1" x14ac:dyDescent="0.35">
      <c r="D54" s="23"/>
      <c r="E54" s="23"/>
      <c r="F54" s="23"/>
      <c r="G54" s="23"/>
      <c r="H54" s="23"/>
      <c r="K54" s="23"/>
      <c r="L54"/>
      <c r="M54"/>
      <c r="N54"/>
      <c r="O54"/>
      <c r="P54"/>
    </row>
    <row r="55" spans="2:24" hidden="1" x14ac:dyDescent="0.35">
      <c r="D55" s="23"/>
      <c r="E55" s="23" t="s">
        <v>225</v>
      </c>
      <c r="F55" s="23">
        <f>VLOOKUP(F14,J50:K53,2,FALSE)</f>
        <v>0</v>
      </c>
      <c r="G55" s="23">
        <f>VLOOKUP(H14,J50:K53,2,FALSE)</f>
        <v>3</v>
      </c>
      <c r="H55" s="23"/>
      <c r="K55" s="23"/>
      <c r="L55"/>
      <c r="M55"/>
      <c r="N55"/>
      <c r="O55"/>
      <c r="P55"/>
    </row>
    <row r="56" spans="2:24" hidden="1" x14ac:dyDescent="0.35">
      <c r="D56" s="23"/>
      <c r="E56" s="23"/>
      <c r="F56" s="23">
        <f>VLOOKUP(N14,M50:N53,2,FALSE)</f>
        <v>0</v>
      </c>
      <c r="G56" s="23">
        <f>VLOOKUP(P14,M50:N53,2,FALSE)</f>
        <v>2</v>
      </c>
      <c r="H56" s="23"/>
      <c r="K56" s="23"/>
      <c r="L56"/>
      <c r="M56"/>
      <c r="N56"/>
      <c r="O56"/>
      <c r="P56"/>
    </row>
    <row r="57" spans="2:24" hidden="1" x14ac:dyDescent="0.35">
      <c r="I57"/>
      <c r="J57"/>
      <c r="L57"/>
      <c r="M57"/>
      <c r="N57"/>
      <c r="O57"/>
      <c r="P57"/>
    </row>
    <row r="58" spans="2:24" ht="15" hidden="1" thickBot="1" x14ac:dyDescent="0.4">
      <c r="E58" s="79"/>
      <c r="F58" s="79"/>
      <c r="G58" s="79"/>
      <c r="H58" s="79"/>
      <c r="I58" s="79"/>
      <c r="J58" s="79"/>
      <c r="K58" s="79"/>
      <c r="L58" s="79"/>
      <c r="M58" s="79"/>
      <c r="N58" s="79"/>
      <c r="O58" s="79"/>
      <c r="P58" s="79"/>
    </row>
    <row r="59" spans="2:24" ht="15" hidden="1" thickBot="1" x14ac:dyDescent="0.4">
      <c r="F59" s="30" t="s">
        <v>133</v>
      </c>
      <c r="G59" s="29" t="s">
        <v>136</v>
      </c>
      <c r="I59"/>
      <c r="J59"/>
      <c r="K59" s="23"/>
    </row>
    <row r="60" spans="2:24" hidden="1" x14ac:dyDescent="0.35">
      <c r="F60" s="33" t="s">
        <v>57</v>
      </c>
      <c r="G60" s="34">
        <v>84</v>
      </c>
      <c r="I60"/>
      <c r="J60"/>
      <c r="K60" s="23"/>
    </row>
    <row r="61" spans="2:24" hidden="1" x14ac:dyDescent="0.35">
      <c r="F61" s="31" t="s">
        <v>58</v>
      </c>
      <c r="G61" s="34">
        <v>205</v>
      </c>
      <c r="I61"/>
      <c r="J61"/>
      <c r="K61" s="23"/>
      <c r="M61"/>
    </row>
    <row r="62" spans="2:24" hidden="1" x14ac:dyDescent="0.35">
      <c r="F62" s="31" t="s">
        <v>15</v>
      </c>
      <c r="G62" s="34">
        <v>282</v>
      </c>
      <c r="I62"/>
      <c r="J62"/>
      <c r="K62" s="23"/>
      <c r="M62"/>
    </row>
    <row r="63" spans="2:24" hidden="1" x14ac:dyDescent="0.35">
      <c r="F63" s="31" t="s">
        <v>128</v>
      </c>
      <c r="G63" s="34">
        <v>271</v>
      </c>
      <c r="I63"/>
      <c r="J63"/>
      <c r="K63" s="23"/>
      <c r="M63"/>
    </row>
    <row r="64" spans="2:24" hidden="1" x14ac:dyDescent="0.35">
      <c r="F64" s="31" t="s">
        <v>18</v>
      </c>
      <c r="G64" s="34">
        <v>231</v>
      </c>
      <c r="I64"/>
      <c r="J64"/>
      <c r="K64" s="23"/>
      <c r="M64"/>
    </row>
    <row r="65" spans="6:13" hidden="1" x14ac:dyDescent="0.35">
      <c r="F65" s="31" t="s">
        <v>129</v>
      </c>
      <c r="G65" s="34">
        <v>11</v>
      </c>
      <c r="I65"/>
      <c r="J65"/>
      <c r="K65" s="23"/>
      <c r="M65"/>
    </row>
    <row r="66" spans="6:13" hidden="1" x14ac:dyDescent="0.35">
      <c r="F66" s="31" t="s">
        <v>130</v>
      </c>
      <c r="G66" s="34">
        <v>306</v>
      </c>
      <c r="I66"/>
      <c r="J66"/>
      <c r="K66" s="23"/>
      <c r="M66"/>
    </row>
    <row r="67" spans="6:13" ht="15" hidden="1" thickBot="1" x14ac:dyDescent="0.4">
      <c r="F67" s="32" t="s">
        <v>131</v>
      </c>
      <c r="G67" s="35"/>
      <c r="I67"/>
      <c r="J67"/>
      <c r="K67" s="23"/>
      <c r="M67"/>
    </row>
    <row r="68" spans="6:13" hidden="1" x14ac:dyDescent="0.35">
      <c r="F68" s="25"/>
      <c r="G68" s="25"/>
      <c r="I68"/>
      <c r="J68"/>
      <c r="K68" s="23"/>
      <c r="M68"/>
    </row>
    <row r="69" spans="6:13" hidden="1" x14ac:dyDescent="0.35">
      <c r="F69" s="26" t="s">
        <v>134</v>
      </c>
      <c r="G69" s="25"/>
      <c r="I69"/>
      <c r="J69"/>
      <c r="K69" s="23"/>
      <c r="M69"/>
    </row>
    <row r="70" spans="6:13" hidden="1" x14ac:dyDescent="0.35">
      <c r="F70" s="27" t="s">
        <v>135</v>
      </c>
      <c r="G70" s="25"/>
      <c r="I70"/>
      <c r="J70"/>
      <c r="K70" s="23"/>
      <c r="M70"/>
    </row>
    <row r="71" spans="6:13" hidden="1" x14ac:dyDescent="0.35">
      <c r="I71"/>
      <c r="J71"/>
      <c r="K71" s="23"/>
      <c r="M71"/>
    </row>
    <row r="72" spans="6:13" hidden="1" x14ac:dyDescent="0.35"/>
    <row r="73" spans="6:13" hidden="1" x14ac:dyDescent="0.35"/>
    <row r="74" spans="6:13" hidden="1" x14ac:dyDescent="0.35"/>
    <row r="75" spans="6:13" hidden="1" x14ac:dyDescent="0.35"/>
  </sheetData>
  <mergeCells count="11">
    <mergeCell ref="C3:Q3"/>
    <mergeCell ref="C5:I5"/>
    <mergeCell ref="K5:Q5"/>
    <mergeCell ref="O9:O10"/>
    <mergeCell ref="P9:P10"/>
    <mergeCell ref="E9:E10"/>
    <mergeCell ref="F9:F10"/>
    <mergeCell ref="G9:G10"/>
    <mergeCell ref="H9:H10"/>
    <mergeCell ref="M9:M10"/>
    <mergeCell ref="N9:N10"/>
  </mergeCells>
  <dataValidations count="8">
    <dataValidation type="list" allowBlank="1" showInputMessage="1" showErrorMessage="1" sqref="F11 H11:H14" xr:uid="{00000000-0002-0000-0400-000000000000}">
      <formula1>$J$22:$J$24</formula1>
    </dataValidation>
    <dataValidation type="list" allowBlank="1" showInputMessage="1" showErrorMessage="1" sqref="F12" xr:uid="{00000000-0002-0000-0400-000001000000}">
      <formula1>$J$31:$J$33</formula1>
    </dataValidation>
    <dataValidation type="list" allowBlank="1" showInputMessage="1" showErrorMessage="1" sqref="F14" xr:uid="{00000000-0002-0000-0400-000002000000}">
      <formula1>$J$50:$J$53</formula1>
    </dataValidation>
    <dataValidation type="list" allowBlank="1" showInputMessage="1" showErrorMessage="1" sqref="F13" xr:uid="{00000000-0002-0000-0400-000003000000}">
      <formula1>$J$40:$J$43</formula1>
    </dataValidation>
    <dataValidation type="list" allowBlank="1" showInputMessage="1" showErrorMessage="1" sqref="N11 P11" xr:uid="{00000000-0002-0000-0400-000004000000}">
      <formula1>$M$22:$M$24</formula1>
    </dataValidation>
    <dataValidation type="list" allowBlank="1" showInputMessage="1" showErrorMessage="1" sqref="N12 P12" xr:uid="{00000000-0002-0000-0400-000005000000}">
      <formula1>$M$31:$M$33</formula1>
    </dataValidation>
    <dataValidation type="list" allowBlank="1" showInputMessage="1" showErrorMessage="1" sqref="N13 P13" xr:uid="{00000000-0002-0000-0400-000006000000}">
      <formula1>$M$40:$M$43</formula1>
    </dataValidation>
    <dataValidation type="list" allowBlank="1" showInputMessage="1" showErrorMessage="1" sqref="N14 P14" xr:uid="{00000000-0002-0000-0400-000007000000}">
      <formula1>$M$50:$M$53</formula1>
    </dataValidation>
  </dataValidations>
  <hyperlinks>
    <hyperlink ref="F70" r:id="rId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6"/>
  </sheetPr>
  <dimension ref="A1:BG274"/>
  <sheetViews>
    <sheetView zoomScale="80" zoomScaleNormal="80" workbookViewId="0">
      <pane ySplit="1" topLeftCell="A2" activePane="bottomLeft" state="frozen"/>
      <selection pane="bottomLeft" activeCell="K27" sqref="K27"/>
    </sheetView>
  </sheetViews>
  <sheetFormatPr baseColWidth="10" defaultColWidth="0" defaultRowHeight="14" zeroHeight="1" x14ac:dyDescent="0.3"/>
  <cols>
    <col min="1" max="1" width="2.54296875" style="37" customWidth="1"/>
    <col min="2" max="2" width="9.54296875" style="37" customWidth="1"/>
    <col min="3" max="3" width="13.453125" style="37" customWidth="1"/>
    <col min="4" max="20" width="11.1796875" style="37" customWidth="1"/>
    <col min="21" max="28" width="11.1796875" style="37" hidden="1" customWidth="1"/>
    <col min="29" max="59" width="0" style="37" hidden="1" customWidth="1"/>
    <col min="60" max="16384" width="11.453125" style="37" hidden="1"/>
  </cols>
  <sheetData>
    <row r="1" spans="1:41" ht="31.15" customHeight="1" x14ac:dyDescent="0.3">
      <c r="A1" s="36"/>
      <c r="B1" s="36"/>
      <c r="C1" s="36"/>
      <c r="D1" s="36"/>
      <c r="E1" s="36"/>
      <c r="F1" s="36"/>
      <c r="G1" s="36"/>
      <c r="H1" s="36"/>
      <c r="I1" s="36"/>
      <c r="J1" s="36"/>
      <c r="K1" s="36"/>
      <c r="L1" s="36"/>
      <c r="M1" s="36"/>
      <c r="N1" s="36"/>
      <c r="O1" s="36"/>
      <c r="P1" s="36"/>
      <c r="Q1" s="36"/>
      <c r="R1" s="36"/>
      <c r="S1" s="36"/>
      <c r="T1" s="36"/>
    </row>
    <row r="2" spans="1:41" x14ac:dyDescent="0.3">
      <c r="A2" s="36"/>
      <c r="B2" s="36"/>
      <c r="C2" s="36"/>
      <c r="D2" s="36"/>
      <c r="E2" s="36"/>
      <c r="F2" s="36"/>
      <c r="G2" s="36"/>
      <c r="H2" s="36"/>
      <c r="I2" s="36"/>
      <c r="J2" s="36"/>
      <c r="K2" s="36"/>
      <c r="L2" s="36"/>
      <c r="M2" s="36"/>
      <c r="N2" s="36"/>
      <c r="O2" s="36"/>
      <c r="P2" s="36"/>
      <c r="Q2" s="36"/>
      <c r="R2" s="36"/>
      <c r="S2" s="36"/>
      <c r="T2" s="36"/>
    </row>
    <row r="3" spans="1:41" ht="24" customHeight="1" thickBot="1" x14ac:dyDescent="0.4">
      <c r="A3" s="36"/>
      <c r="B3" s="414" t="s">
        <v>344</v>
      </c>
      <c r="C3" s="415"/>
      <c r="D3" s="416"/>
      <c r="E3" s="416"/>
      <c r="F3" s="416"/>
      <c r="G3" s="416"/>
      <c r="H3" s="416"/>
      <c r="I3" s="416"/>
      <c r="J3" s="417"/>
      <c r="K3" s="416"/>
      <c r="L3" s="416"/>
      <c r="M3" s="416"/>
      <c r="N3" s="416"/>
      <c r="O3" s="416"/>
      <c r="P3" s="416"/>
      <c r="Q3" s="416"/>
      <c r="R3" s="416"/>
      <c r="S3" s="418"/>
      <c r="T3" s="36"/>
      <c r="AO3" s="384"/>
    </row>
    <row r="4" spans="1:41" x14ac:dyDescent="0.3">
      <c r="A4" s="36"/>
      <c r="B4" s="36"/>
      <c r="C4" s="36"/>
      <c r="D4" s="36"/>
      <c r="E4" s="36"/>
      <c r="F4" s="36"/>
      <c r="G4" s="36"/>
      <c r="H4" s="36"/>
      <c r="I4" s="36"/>
      <c r="J4" s="36"/>
      <c r="K4" s="36"/>
      <c r="L4" s="36"/>
      <c r="M4" s="36"/>
      <c r="N4" s="36"/>
      <c r="O4" s="36"/>
      <c r="P4" s="36"/>
      <c r="Q4" s="36"/>
      <c r="R4" s="36"/>
      <c r="S4" s="36"/>
      <c r="T4" s="39"/>
    </row>
    <row r="5" spans="1:41" x14ac:dyDescent="0.3">
      <c r="A5" s="36"/>
      <c r="B5" s="405" t="s">
        <v>345</v>
      </c>
      <c r="C5" s="36"/>
      <c r="D5" s="36"/>
      <c r="E5" s="36"/>
      <c r="F5" s="36"/>
      <c r="G5" s="36"/>
      <c r="H5" s="36"/>
      <c r="I5" s="36"/>
      <c r="J5" s="36"/>
      <c r="K5" s="36"/>
      <c r="L5" s="36"/>
      <c r="M5" s="36"/>
      <c r="N5" s="36"/>
      <c r="O5" s="36"/>
      <c r="P5" s="36"/>
      <c r="Q5" s="36"/>
      <c r="R5" s="36"/>
      <c r="S5" s="36"/>
      <c r="T5" s="39"/>
    </row>
    <row r="6" spans="1:41" x14ac:dyDescent="0.3">
      <c r="A6" s="36"/>
      <c r="B6" s="405" t="s">
        <v>346</v>
      </c>
      <c r="C6" s="36"/>
      <c r="D6" s="36"/>
      <c r="E6" s="36"/>
      <c r="F6" s="36"/>
      <c r="G6" s="36"/>
      <c r="H6" s="36"/>
      <c r="I6" s="36"/>
      <c r="J6" s="36"/>
      <c r="K6" s="36"/>
      <c r="L6" s="36"/>
      <c r="M6" s="36"/>
      <c r="N6" s="36"/>
      <c r="O6" s="36"/>
      <c r="P6" s="36"/>
      <c r="Q6" s="36"/>
      <c r="R6" s="36"/>
      <c r="S6" s="36"/>
      <c r="T6" s="39"/>
    </row>
    <row r="7" spans="1:41" x14ac:dyDescent="0.3">
      <c r="A7" s="36"/>
      <c r="B7" s="36"/>
      <c r="C7" s="36"/>
      <c r="D7" s="36"/>
      <c r="E7" s="36"/>
      <c r="F7" s="36"/>
      <c r="G7" s="36"/>
      <c r="H7" s="36"/>
      <c r="I7" s="36"/>
      <c r="J7" s="36"/>
      <c r="K7" s="36"/>
      <c r="L7" s="36"/>
      <c r="M7" s="36"/>
      <c r="N7" s="36"/>
      <c r="O7" s="36"/>
      <c r="P7" s="36"/>
      <c r="Q7" s="36"/>
      <c r="R7" s="36"/>
      <c r="S7" s="36"/>
      <c r="T7" s="39"/>
    </row>
    <row r="8" spans="1:41" ht="16.5" x14ac:dyDescent="0.35">
      <c r="A8" s="36"/>
      <c r="B8" s="422" t="s">
        <v>348</v>
      </c>
      <c r="C8" s="419"/>
      <c r="D8" s="420"/>
      <c r="E8" s="420"/>
      <c r="F8" s="420"/>
      <c r="G8" s="420"/>
      <c r="H8" s="420"/>
      <c r="I8" s="420"/>
      <c r="J8" s="420"/>
      <c r="K8" s="420"/>
      <c r="L8" s="420"/>
      <c r="M8" s="420"/>
      <c r="N8" s="420"/>
      <c r="O8" s="420"/>
      <c r="P8" s="420"/>
      <c r="Q8" s="420"/>
      <c r="R8" s="420"/>
      <c r="S8" s="421"/>
      <c r="T8" s="39"/>
      <c r="V8" s="427"/>
    </row>
    <row r="9" spans="1:41" x14ac:dyDescent="0.3">
      <c r="A9" s="36"/>
      <c r="B9" s="389"/>
      <c r="C9" s="42"/>
      <c r="D9" s="42"/>
      <c r="E9" s="42"/>
      <c r="F9" s="42"/>
      <c r="G9" s="42"/>
      <c r="H9" s="42"/>
      <c r="I9" s="42"/>
      <c r="J9" s="42"/>
      <c r="K9" s="42"/>
      <c r="L9" s="42"/>
      <c r="M9" s="42"/>
      <c r="N9" s="42"/>
      <c r="O9" s="42"/>
      <c r="P9" s="42"/>
      <c r="Q9" s="42"/>
      <c r="R9" s="42"/>
      <c r="S9" s="390"/>
      <c r="T9" s="39"/>
      <c r="V9" s="427"/>
    </row>
    <row r="10" spans="1:41" x14ac:dyDescent="0.3">
      <c r="A10" s="36"/>
      <c r="B10" s="389"/>
      <c r="C10" s="42"/>
      <c r="D10" s="42"/>
      <c r="E10" s="42"/>
      <c r="F10" s="42"/>
      <c r="G10" s="42"/>
      <c r="H10" s="42"/>
      <c r="I10" s="42"/>
      <c r="J10" s="42"/>
      <c r="K10" s="42"/>
      <c r="L10" s="42"/>
      <c r="M10" s="42"/>
      <c r="N10" s="42"/>
      <c r="O10" s="42"/>
      <c r="P10" s="42"/>
      <c r="Q10" s="42"/>
      <c r="R10" s="42"/>
      <c r="S10" s="390"/>
      <c r="T10" s="39"/>
      <c r="V10" s="427"/>
    </row>
    <row r="11" spans="1:41" x14ac:dyDescent="0.3">
      <c r="A11" s="36"/>
      <c r="B11" s="389"/>
      <c r="C11" s="42"/>
      <c r="D11" s="42"/>
      <c r="E11" s="42"/>
      <c r="F11" s="42"/>
      <c r="G11" s="42"/>
      <c r="H11" s="42"/>
      <c r="I11" s="42"/>
      <c r="J11" s="42"/>
      <c r="K11" s="42"/>
      <c r="L11" s="42"/>
      <c r="M11" s="42"/>
      <c r="N11" s="42"/>
      <c r="O11" s="42"/>
      <c r="P11" s="42"/>
      <c r="Q11" s="42"/>
      <c r="R11" s="42"/>
      <c r="S11" s="390"/>
      <c r="T11" s="39"/>
      <c r="V11" s="427">
        <f>IF( $N$25="€/MWh PCI",1,IF($N$25="€/tonne",2,0))</f>
        <v>1</v>
      </c>
      <c r="W11" s="37" t="s">
        <v>414</v>
      </c>
    </row>
    <row r="12" spans="1:41" x14ac:dyDescent="0.3">
      <c r="A12" s="36"/>
      <c r="B12" s="389"/>
      <c r="C12" s="42"/>
      <c r="D12" s="42"/>
      <c r="E12" s="42"/>
      <c r="F12" s="42"/>
      <c r="G12" s="42"/>
      <c r="H12" s="42"/>
      <c r="I12" s="42"/>
      <c r="J12" s="42"/>
      <c r="K12" s="42"/>
      <c r="L12" s="42"/>
      <c r="M12" s="42"/>
      <c r="N12" s="42"/>
      <c r="O12" s="42"/>
      <c r="P12" s="42"/>
      <c r="Q12" s="42"/>
      <c r="R12" s="42"/>
      <c r="S12" s="390"/>
      <c r="T12" s="39"/>
      <c r="V12" s="427">
        <f>IF( $N$43="€/MWh PCI",1,IF($N$43="€/1000L",2,0))</f>
        <v>1</v>
      </c>
      <c r="W12" s="37" t="s">
        <v>415</v>
      </c>
    </row>
    <row r="13" spans="1:41" x14ac:dyDescent="0.3">
      <c r="A13" s="36"/>
      <c r="B13" s="389"/>
      <c r="C13" s="42"/>
      <c r="D13" s="42"/>
      <c r="E13" s="42"/>
      <c r="F13" s="42"/>
      <c r="G13" s="42"/>
      <c r="H13" s="42"/>
      <c r="I13" s="42"/>
      <c r="J13" s="42"/>
      <c r="K13" s="42"/>
      <c r="L13" s="42"/>
      <c r="M13" s="42"/>
      <c r="N13" s="42"/>
      <c r="O13" s="42"/>
      <c r="P13" s="42"/>
      <c r="Q13" s="42"/>
      <c r="R13" s="42"/>
      <c r="S13" s="390"/>
      <c r="T13" s="39"/>
      <c r="V13" s="427">
        <f>IF( $E$61="€/MWh PCI",1,IF($E$61="€/MWh PCS",2,0))</f>
        <v>1</v>
      </c>
      <c r="W13" s="37" t="s">
        <v>416</v>
      </c>
    </row>
    <row r="14" spans="1:41" x14ac:dyDescent="0.3">
      <c r="A14" s="36"/>
      <c r="B14" s="389"/>
      <c r="C14" s="42"/>
      <c r="D14" s="42"/>
      <c r="E14" s="42"/>
      <c r="F14" s="42"/>
      <c r="G14" s="42"/>
      <c r="H14" s="42"/>
      <c r="I14" s="42"/>
      <c r="J14" s="42"/>
      <c r="K14" s="42"/>
      <c r="L14" s="42"/>
      <c r="M14" s="42"/>
      <c r="N14" s="42"/>
      <c r="O14" s="42"/>
      <c r="P14" s="42"/>
      <c r="Q14" s="42"/>
      <c r="R14" s="42"/>
      <c r="S14" s="390"/>
      <c r="T14" s="39"/>
      <c r="V14" s="427">
        <f>IF( $E$43="€/MWh PCI",1,IF($E$43="€/tonne",2,0))</f>
        <v>1</v>
      </c>
      <c r="W14" s="37" t="s">
        <v>417</v>
      </c>
    </row>
    <row r="15" spans="1:41" x14ac:dyDescent="0.3">
      <c r="A15" s="36"/>
      <c r="B15" s="389"/>
      <c r="C15" s="42"/>
      <c r="D15" s="42"/>
      <c r="E15" s="42"/>
      <c r="F15" s="42"/>
      <c r="G15" s="42"/>
      <c r="H15" s="42"/>
      <c r="I15" s="42"/>
      <c r="J15" s="42"/>
      <c r="K15" s="42"/>
      <c r="L15" s="42"/>
      <c r="M15" s="42"/>
      <c r="N15" s="42"/>
      <c r="O15" s="42"/>
      <c r="P15" s="42"/>
      <c r="Q15" s="42"/>
      <c r="R15" s="42"/>
      <c r="S15" s="390"/>
      <c r="T15" s="39"/>
      <c r="V15" s="427"/>
    </row>
    <row r="16" spans="1:41" x14ac:dyDescent="0.3">
      <c r="A16" s="36"/>
      <c r="B16" s="389"/>
      <c r="C16" s="42"/>
      <c r="D16" s="42"/>
      <c r="E16" s="42"/>
      <c r="F16" s="42"/>
      <c r="G16" s="42"/>
      <c r="H16" s="42"/>
      <c r="I16" s="42"/>
      <c r="J16" s="42"/>
      <c r="K16" s="42"/>
      <c r="L16" s="42"/>
      <c r="M16" s="42"/>
      <c r="N16" s="42"/>
      <c r="O16" s="42"/>
      <c r="P16" s="42"/>
      <c r="Q16" s="42"/>
      <c r="R16" s="42"/>
      <c r="S16" s="390"/>
      <c r="T16" s="39"/>
      <c r="V16" s="427"/>
    </row>
    <row r="17" spans="1:59" x14ac:dyDescent="0.3">
      <c r="A17" s="36"/>
      <c r="B17" s="389"/>
      <c r="C17" s="42"/>
      <c r="D17" s="42"/>
      <c r="E17" s="42"/>
      <c r="F17" s="42"/>
      <c r="G17" s="42"/>
      <c r="H17" s="42"/>
      <c r="I17" s="42"/>
      <c r="J17" s="42"/>
      <c r="K17" s="42"/>
      <c r="L17" s="42"/>
      <c r="M17" s="42"/>
      <c r="N17" s="42"/>
      <c r="O17" s="42"/>
      <c r="P17" s="42"/>
      <c r="Q17" s="42"/>
      <c r="R17" s="42"/>
      <c r="S17" s="390"/>
      <c r="T17" s="39"/>
      <c r="V17" s="427"/>
    </row>
    <row r="18" spans="1:59" x14ac:dyDescent="0.3">
      <c r="A18" s="36"/>
      <c r="B18" s="389"/>
      <c r="C18" s="42"/>
      <c r="D18" s="42"/>
      <c r="E18" s="42"/>
      <c r="F18" s="42"/>
      <c r="G18" s="42"/>
      <c r="H18" s="42"/>
      <c r="I18" s="42"/>
      <c r="J18" s="42"/>
      <c r="K18" s="42"/>
      <c r="L18" s="42"/>
      <c r="M18" s="42"/>
      <c r="N18" s="42"/>
      <c r="O18" s="42"/>
      <c r="P18" s="42"/>
      <c r="Q18" s="42"/>
      <c r="R18" s="42"/>
      <c r="S18" s="390"/>
      <c r="T18" s="39"/>
    </row>
    <row r="19" spans="1:59" x14ac:dyDescent="0.3">
      <c r="A19" s="36"/>
      <c r="B19" s="389"/>
      <c r="C19" s="42"/>
      <c r="D19" s="42"/>
      <c r="E19" s="42"/>
      <c r="F19" s="42"/>
      <c r="G19" s="42"/>
      <c r="H19" s="42"/>
      <c r="I19" s="42"/>
      <c r="J19" s="42"/>
      <c r="K19" s="42"/>
      <c r="L19" s="42"/>
      <c r="M19" s="42"/>
      <c r="N19" s="42"/>
      <c r="O19" s="42"/>
      <c r="P19" s="42"/>
      <c r="Q19" s="42"/>
      <c r="R19" s="42"/>
      <c r="S19" s="390"/>
      <c r="T19" s="39"/>
    </row>
    <row r="20" spans="1:59" x14ac:dyDescent="0.3">
      <c r="A20" s="36"/>
      <c r="B20" s="389"/>
      <c r="C20" s="42"/>
      <c r="D20" s="42"/>
      <c r="E20" s="42"/>
      <c r="F20" s="42"/>
      <c r="G20" s="42"/>
      <c r="H20" s="42"/>
      <c r="I20" s="42"/>
      <c r="J20" s="42"/>
      <c r="K20" s="42"/>
      <c r="L20" s="42"/>
      <c r="M20" s="42"/>
      <c r="N20" s="42"/>
      <c r="O20" s="42"/>
      <c r="P20" s="42"/>
      <c r="Q20" s="42"/>
      <c r="R20" s="42"/>
      <c r="S20" s="390"/>
      <c r="T20" s="39"/>
    </row>
    <row r="21" spans="1:59" x14ac:dyDescent="0.3">
      <c r="A21" s="36"/>
      <c r="B21" s="389"/>
      <c r="C21" s="42"/>
      <c r="D21" s="42"/>
      <c r="E21" s="42"/>
      <c r="F21" s="42"/>
      <c r="G21" s="42"/>
      <c r="H21" s="42"/>
      <c r="I21" s="42"/>
      <c r="J21" s="42"/>
      <c r="K21" s="42"/>
      <c r="L21" s="42"/>
      <c r="M21" s="42"/>
      <c r="N21" s="42"/>
      <c r="O21" s="42"/>
      <c r="P21" s="42"/>
      <c r="Q21" s="42"/>
      <c r="R21" s="42"/>
      <c r="S21" s="390"/>
      <c r="T21" s="39"/>
    </row>
    <row r="22" spans="1:59" x14ac:dyDescent="0.3">
      <c r="A22" s="36"/>
      <c r="B22" s="389"/>
      <c r="C22" s="42"/>
      <c r="D22" s="42"/>
      <c r="E22" s="42"/>
      <c r="F22" s="42"/>
      <c r="G22" s="42"/>
      <c r="H22" s="42"/>
      <c r="I22" s="42"/>
      <c r="J22" s="42"/>
      <c r="K22" s="42"/>
      <c r="L22" s="42"/>
      <c r="M22" s="42"/>
      <c r="N22" s="42"/>
      <c r="O22" s="42"/>
      <c r="P22" s="42"/>
      <c r="Q22" s="42"/>
      <c r="R22" s="42"/>
      <c r="S22" s="390"/>
      <c r="T22" s="39"/>
      <c r="BG22" s="322"/>
    </row>
    <row r="23" spans="1:59" x14ac:dyDescent="0.3">
      <c r="A23" s="36"/>
      <c r="B23" s="389"/>
      <c r="C23" s="42"/>
      <c r="D23" s="42"/>
      <c r="E23" s="42"/>
      <c r="F23" s="42"/>
      <c r="G23" s="42"/>
      <c r="H23" s="42"/>
      <c r="I23" s="42"/>
      <c r="J23" s="42"/>
      <c r="K23" s="42"/>
      <c r="L23" s="42"/>
      <c r="M23" s="42"/>
      <c r="N23" s="42"/>
      <c r="O23" s="42"/>
      <c r="P23" s="42"/>
      <c r="Q23" s="42"/>
      <c r="R23" s="42"/>
      <c r="S23" s="390"/>
      <c r="T23" s="39"/>
    </row>
    <row r="24" spans="1:59" ht="14.5" thickBot="1" x14ac:dyDescent="0.35">
      <c r="A24" s="36"/>
      <c r="B24" s="389"/>
      <c r="C24" s="42"/>
      <c r="D24" s="42"/>
      <c r="E24" s="42"/>
      <c r="F24" s="42"/>
      <c r="G24" s="42"/>
      <c r="H24" s="42"/>
      <c r="I24" s="42"/>
      <c r="J24" s="42"/>
      <c r="K24" s="42"/>
      <c r="L24" s="42"/>
      <c r="M24" s="42"/>
      <c r="N24" s="42"/>
      <c r="O24" s="42"/>
      <c r="P24" s="42"/>
      <c r="Q24" s="42"/>
      <c r="R24" s="42"/>
      <c r="S24" s="390"/>
      <c r="T24" s="39"/>
    </row>
    <row r="25" spans="1:59" x14ac:dyDescent="0.3">
      <c r="A25" s="36"/>
      <c r="B25" s="389"/>
      <c r="C25" s="407" t="s">
        <v>260</v>
      </c>
      <c r="D25" s="42"/>
      <c r="E25" s="42"/>
      <c r="F25" s="42"/>
      <c r="G25" s="42"/>
      <c r="H25" s="42"/>
      <c r="I25" s="42"/>
      <c r="J25" s="42"/>
      <c r="K25" s="42"/>
      <c r="L25" s="411"/>
      <c r="M25" s="413" t="s">
        <v>254</v>
      </c>
      <c r="N25" s="412" t="s">
        <v>214</v>
      </c>
      <c r="O25" s="42"/>
      <c r="P25" s="42"/>
      <c r="Q25" s="42"/>
      <c r="R25" s="42"/>
      <c r="S25" s="390"/>
      <c r="T25" s="39"/>
    </row>
    <row r="26" spans="1:59" x14ac:dyDescent="0.3">
      <c r="A26" s="36"/>
      <c r="B26" s="389"/>
      <c r="C26" s="42"/>
      <c r="D26" s="42"/>
      <c r="E26" s="42"/>
      <c r="F26" s="42"/>
      <c r="G26" s="42"/>
      <c r="H26" s="42"/>
      <c r="I26" s="42"/>
      <c r="J26" s="42"/>
      <c r="K26" s="42"/>
      <c r="L26" s="407" t="s">
        <v>258</v>
      </c>
      <c r="M26" s="42"/>
      <c r="N26" s="42"/>
      <c r="O26" s="42"/>
      <c r="P26" s="42"/>
      <c r="Q26" s="42"/>
      <c r="R26" s="42"/>
      <c r="S26" s="390"/>
      <c r="T26" s="36"/>
    </row>
    <row r="27" spans="1:59" x14ac:dyDescent="0.3">
      <c r="A27" s="36"/>
      <c r="B27" s="386"/>
      <c r="C27" s="387"/>
      <c r="D27" s="409"/>
      <c r="E27" s="409"/>
      <c r="F27" s="409"/>
      <c r="G27" s="409"/>
      <c r="H27" s="409"/>
      <c r="I27" s="409"/>
      <c r="J27" s="409"/>
      <c r="K27" s="409"/>
      <c r="L27" s="409"/>
      <c r="M27" s="409"/>
      <c r="N27" s="387"/>
      <c r="O27" s="387"/>
      <c r="P27" s="387"/>
      <c r="Q27" s="387"/>
      <c r="R27" s="387"/>
      <c r="S27" s="388"/>
      <c r="T27" s="39"/>
      <c r="V27" s="427"/>
    </row>
    <row r="28" spans="1:59" x14ac:dyDescent="0.3">
      <c r="A28" s="36"/>
      <c r="B28" s="389"/>
      <c r="C28" s="42"/>
      <c r="D28" s="42"/>
      <c r="E28" s="42"/>
      <c r="F28" s="42"/>
      <c r="G28" s="42"/>
      <c r="H28" s="42"/>
      <c r="I28" s="42"/>
      <c r="J28" s="42"/>
      <c r="K28" s="42"/>
      <c r="L28" s="42"/>
      <c r="M28" s="42"/>
      <c r="N28" s="42"/>
      <c r="O28" s="42"/>
      <c r="P28" s="42"/>
      <c r="Q28" s="42"/>
      <c r="R28" s="42"/>
      <c r="S28" s="390"/>
      <c r="T28" s="39"/>
      <c r="V28" s="427"/>
    </row>
    <row r="29" spans="1:59" x14ac:dyDescent="0.3">
      <c r="A29" s="36"/>
      <c r="B29" s="389"/>
      <c r="C29" s="42"/>
      <c r="D29" s="42"/>
      <c r="E29" s="42"/>
      <c r="F29" s="42"/>
      <c r="G29" s="42"/>
      <c r="H29" s="42"/>
      <c r="I29" s="42"/>
      <c r="J29" s="42"/>
      <c r="K29" s="42"/>
      <c r="L29" s="42"/>
      <c r="M29" s="42"/>
      <c r="N29" s="42"/>
      <c r="O29" s="42"/>
      <c r="P29" s="42"/>
      <c r="Q29" s="42"/>
      <c r="R29" s="42"/>
      <c r="S29" s="390"/>
      <c r="T29" s="39"/>
      <c r="V29" s="427"/>
    </row>
    <row r="30" spans="1:59" x14ac:dyDescent="0.3">
      <c r="A30" s="36"/>
      <c r="B30" s="389"/>
      <c r="C30" s="42"/>
      <c r="D30" s="42"/>
      <c r="E30" s="42"/>
      <c r="F30" s="42"/>
      <c r="G30" s="42"/>
      <c r="H30" s="42"/>
      <c r="I30" s="42"/>
      <c r="J30" s="42"/>
      <c r="K30" s="42"/>
      <c r="L30" s="42"/>
      <c r="M30" s="42"/>
      <c r="N30" s="42"/>
      <c r="O30" s="42"/>
      <c r="P30" s="42"/>
      <c r="Q30" s="42"/>
      <c r="R30" s="42"/>
      <c r="S30" s="390"/>
      <c r="T30" s="39"/>
      <c r="V30" s="427"/>
    </row>
    <row r="31" spans="1:59" x14ac:dyDescent="0.3">
      <c r="A31" s="36"/>
      <c r="B31" s="389"/>
      <c r="C31" s="42"/>
      <c r="D31" s="42"/>
      <c r="E31" s="42"/>
      <c r="F31" s="42"/>
      <c r="G31" s="42"/>
      <c r="H31" s="42"/>
      <c r="I31" s="42"/>
      <c r="J31" s="42"/>
      <c r="K31" s="42"/>
      <c r="L31" s="42"/>
      <c r="M31" s="42"/>
      <c r="N31" s="42"/>
      <c r="O31" s="42"/>
      <c r="P31" s="42"/>
      <c r="Q31" s="42"/>
      <c r="R31" s="42"/>
      <c r="S31" s="390"/>
      <c r="T31" s="39"/>
      <c r="V31" s="427"/>
    </row>
    <row r="32" spans="1:59" x14ac:dyDescent="0.3">
      <c r="A32" s="36"/>
      <c r="B32" s="389"/>
      <c r="C32" s="42"/>
      <c r="D32" s="42"/>
      <c r="E32" s="42"/>
      <c r="F32" s="42"/>
      <c r="G32" s="42"/>
      <c r="H32" s="42"/>
      <c r="I32" s="42"/>
      <c r="J32" s="42"/>
      <c r="K32" s="42"/>
      <c r="L32" s="42"/>
      <c r="M32" s="42"/>
      <c r="N32" s="42"/>
      <c r="O32" s="42"/>
      <c r="P32" s="42"/>
      <c r="Q32" s="42"/>
      <c r="R32" s="42"/>
      <c r="S32" s="390"/>
      <c r="T32" s="39"/>
      <c r="V32" s="427"/>
    </row>
    <row r="33" spans="1:22" x14ac:dyDescent="0.3">
      <c r="A33" s="36"/>
      <c r="B33" s="389"/>
      <c r="C33" s="42"/>
      <c r="D33" s="42"/>
      <c r="E33" s="42"/>
      <c r="F33" s="42"/>
      <c r="G33" s="42"/>
      <c r="H33" s="42"/>
      <c r="I33" s="42"/>
      <c r="J33" s="42"/>
      <c r="K33" s="42"/>
      <c r="L33" s="42"/>
      <c r="M33" s="42"/>
      <c r="N33" s="42"/>
      <c r="O33" s="42"/>
      <c r="P33" s="42"/>
      <c r="Q33" s="42"/>
      <c r="R33" s="42"/>
      <c r="S33" s="390"/>
      <c r="T33" s="39"/>
      <c r="V33" s="427"/>
    </row>
    <row r="34" spans="1:22" x14ac:dyDescent="0.3">
      <c r="A34" s="36"/>
      <c r="B34" s="389"/>
      <c r="C34" s="42"/>
      <c r="D34" s="42"/>
      <c r="E34" s="42"/>
      <c r="F34" s="42"/>
      <c r="G34" s="42"/>
      <c r="H34" s="42"/>
      <c r="I34" s="42"/>
      <c r="J34" s="42"/>
      <c r="K34" s="42"/>
      <c r="L34" s="42"/>
      <c r="M34" s="42"/>
      <c r="N34" s="42"/>
      <c r="O34" s="42"/>
      <c r="P34" s="42"/>
      <c r="Q34" s="42"/>
      <c r="R34" s="42"/>
      <c r="S34" s="390"/>
      <c r="T34" s="39"/>
      <c r="V34" s="427"/>
    </row>
    <row r="35" spans="1:22" x14ac:dyDescent="0.3">
      <c r="A35" s="36"/>
      <c r="B35" s="389"/>
      <c r="C35" s="42"/>
      <c r="D35" s="42"/>
      <c r="E35" s="42"/>
      <c r="F35" s="42"/>
      <c r="G35" s="42"/>
      <c r="H35" s="42"/>
      <c r="I35" s="42"/>
      <c r="J35" s="42"/>
      <c r="K35" s="42"/>
      <c r="L35" s="42"/>
      <c r="M35" s="42"/>
      <c r="N35" s="42"/>
      <c r="O35" s="42"/>
      <c r="P35" s="42"/>
      <c r="Q35" s="42"/>
      <c r="R35" s="42"/>
      <c r="S35" s="390"/>
      <c r="T35" s="39"/>
      <c r="V35" s="427"/>
    </row>
    <row r="36" spans="1:22" x14ac:dyDescent="0.3">
      <c r="A36" s="36"/>
      <c r="B36" s="389"/>
      <c r="C36" s="42"/>
      <c r="D36" s="42"/>
      <c r="E36" s="42"/>
      <c r="F36" s="42"/>
      <c r="G36" s="42"/>
      <c r="H36" s="42"/>
      <c r="I36" s="42"/>
      <c r="J36" s="42"/>
      <c r="K36" s="42"/>
      <c r="L36" s="42"/>
      <c r="M36" s="42"/>
      <c r="N36" s="42"/>
      <c r="O36" s="42"/>
      <c r="P36" s="42"/>
      <c r="Q36" s="42"/>
      <c r="R36" s="42"/>
      <c r="S36" s="390"/>
      <c r="T36" s="39"/>
      <c r="V36" s="427"/>
    </row>
    <row r="37" spans="1:22" x14ac:dyDescent="0.3">
      <c r="A37" s="36"/>
      <c r="B37" s="389"/>
      <c r="C37" s="42"/>
      <c r="D37" s="42"/>
      <c r="E37" s="42"/>
      <c r="F37" s="42"/>
      <c r="G37" s="42"/>
      <c r="H37" s="42"/>
      <c r="I37" s="42"/>
      <c r="J37" s="42"/>
      <c r="K37" s="42"/>
      <c r="L37" s="42"/>
      <c r="M37" s="42"/>
      <c r="N37" s="42"/>
      <c r="O37" s="42"/>
      <c r="P37" s="42"/>
      <c r="Q37" s="42"/>
      <c r="R37" s="42"/>
      <c r="S37" s="390"/>
      <c r="T37" s="39"/>
      <c r="V37" s="427"/>
    </row>
    <row r="38" spans="1:22" x14ac:dyDescent="0.3">
      <c r="A38" s="36"/>
      <c r="B38" s="389"/>
      <c r="C38" s="42"/>
      <c r="D38" s="42"/>
      <c r="E38" s="42"/>
      <c r="F38" s="42"/>
      <c r="G38" s="42"/>
      <c r="H38" s="42"/>
      <c r="I38" s="42"/>
      <c r="J38" s="42"/>
      <c r="K38" s="42"/>
      <c r="L38" s="42"/>
      <c r="M38" s="42"/>
      <c r="N38" s="42"/>
      <c r="O38" s="42"/>
      <c r="P38" s="42"/>
      <c r="Q38" s="42"/>
      <c r="R38" s="42"/>
      <c r="S38" s="390"/>
      <c r="T38" s="39"/>
      <c r="V38" s="427"/>
    </row>
    <row r="39" spans="1:22" x14ac:dyDescent="0.3">
      <c r="A39" s="36"/>
      <c r="B39" s="389"/>
      <c r="C39" s="42"/>
      <c r="D39" s="42"/>
      <c r="E39" s="42"/>
      <c r="F39" s="42"/>
      <c r="G39" s="42"/>
      <c r="H39" s="42"/>
      <c r="I39" s="42"/>
      <c r="J39" s="42"/>
      <c r="K39" s="42"/>
      <c r="L39" s="42"/>
      <c r="M39" s="42"/>
      <c r="N39" s="42"/>
      <c r="O39" s="42"/>
      <c r="P39" s="42"/>
      <c r="Q39" s="42"/>
      <c r="R39" s="42"/>
      <c r="S39" s="390"/>
      <c r="T39" s="39"/>
      <c r="V39" s="427"/>
    </row>
    <row r="40" spans="1:22" ht="14.5" customHeight="1" x14ac:dyDescent="0.3">
      <c r="A40" s="36"/>
      <c r="B40" s="389"/>
      <c r="C40" s="42"/>
      <c r="D40" s="42"/>
      <c r="E40" s="42"/>
      <c r="F40" s="42"/>
      <c r="G40" s="42"/>
      <c r="H40" s="42"/>
      <c r="I40" s="42"/>
      <c r="J40" s="42"/>
      <c r="K40" s="42"/>
      <c r="L40" s="42"/>
      <c r="M40" s="42"/>
      <c r="N40" s="42"/>
      <c r="O40" s="42"/>
      <c r="P40" s="42"/>
      <c r="Q40" s="42"/>
      <c r="R40" s="42"/>
      <c r="S40" s="390"/>
      <c r="T40" s="39"/>
      <c r="V40" s="427"/>
    </row>
    <row r="41" spans="1:22" x14ac:dyDescent="0.3">
      <c r="A41" s="36"/>
      <c r="B41" s="389"/>
      <c r="C41" s="42"/>
      <c r="D41" s="42"/>
      <c r="E41" s="42"/>
      <c r="F41" s="42"/>
      <c r="G41" s="42"/>
      <c r="H41" s="42"/>
      <c r="I41" s="42"/>
      <c r="J41" s="42"/>
      <c r="K41" s="42"/>
      <c r="L41" s="42"/>
      <c r="M41" s="42"/>
      <c r="N41" s="42"/>
      <c r="O41" s="42"/>
      <c r="P41" s="42"/>
      <c r="Q41" s="42"/>
      <c r="R41" s="42"/>
      <c r="S41" s="390"/>
      <c r="T41" s="39"/>
      <c r="V41" s="427"/>
    </row>
    <row r="42" spans="1:22" ht="14.5" thickBot="1" x14ac:dyDescent="0.35">
      <c r="A42" s="36"/>
      <c r="B42" s="389"/>
      <c r="C42" s="42"/>
      <c r="D42" s="42"/>
      <c r="E42" s="42"/>
      <c r="F42" s="42"/>
      <c r="G42" s="42"/>
      <c r="H42" s="42"/>
      <c r="I42" s="42"/>
      <c r="J42" s="42"/>
      <c r="K42" s="42"/>
      <c r="L42" s="42"/>
      <c r="M42" s="42"/>
      <c r="N42" s="42"/>
      <c r="O42" s="42"/>
      <c r="P42" s="42"/>
      <c r="Q42" s="42"/>
      <c r="R42" s="42"/>
      <c r="S42" s="390"/>
      <c r="T42" s="39"/>
      <c r="V42" s="427"/>
    </row>
    <row r="43" spans="1:22" x14ac:dyDescent="0.3">
      <c r="A43" s="36"/>
      <c r="B43" s="389"/>
      <c r="C43" s="42"/>
      <c r="D43" s="413" t="s">
        <v>256</v>
      </c>
      <c r="E43" s="391" t="s">
        <v>214</v>
      </c>
      <c r="F43" s="42"/>
      <c r="G43" s="42"/>
      <c r="H43" s="42"/>
      <c r="I43" s="42"/>
      <c r="J43" s="42"/>
      <c r="K43" s="42"/>
      <c r="L43" s="42"/>
      <c r="M43" s="413" t="s">
        <v>255</v>
      </c>
      <c r="N43" s="391" t="s">
        <v>214</v>
      </c>
      <c r="O43" s="42"/>
      <c r="P43" s="42"/>
      <c r="Q43" s="42"/>
      <c r="R43" s="42"/>
      <c r="S43" s="390"/>
      <c r="T43" s="39"/>
      <c r="V43" s="427"/>
    </row>
    <row r="44" spans="1:22" x14ac:dyDescent="0.3">
      <c r="A44" s="36"/>
      <c r="B44" s="389"/>
      <c r="C44" s="407" t="s">
        <v>258</v>
      </c>
      <c r="D44" s="42"/>
      <c r="E44" s="42"/>
      <c r="F44" s="42"/>
      <c r="G44" s="42"/>
      <c r="H44" s="42"/>
      <c r="I44" s="42"/>
      <c r="J44" s="42"/>
      <c r="K44" s="42"/>
      <c r="L44" s="407" t="s">
        <v>258</v>
      </c>
      <c r="M44" s="42"/>
      <c r="N44" s="42"/>
      <c r="O44" s="42"/>
      <c r="P44" s="42"/>
      <c r="Q44" s="42"/>
      <c r="R44" s="42"/>
      <c r="S44" s="390"/>
      <c r="T44" s="39"/>
      <c r="V44" s="427"/>
    </row>
    <row r="45" spans="1:22" x14ac:dyDescent="0.3">
      <c r="A45" s="36"/>
      <c r="B45" s="386"/>
      <c r="C45" s="409"/>
      <c r="D45" s="409"/>
      <c r="E45" s="409"/>
      <c r="F45" s="409"/>
      <c r="G45" s="409"/>
      <c r="H45" s="409"/>
      <c r="I45" s="409"/>
      <c r="J45" s="409"/>
      <c r="K45" s="409"/>
      <c r="L45" s="409"/>
      <c r="M45" s="409"/>
      <c r="N45" s="409"/>
      <c r="O45" s="409"/>
      <c r="P45" s="387"/>
      <c r="Q45" s="387"/>
      <c r="R45" s="387"/>
      <c r="S45" s="388"/>
      <c r="T45" s="39"/>
      <c r="V45" s="427"/>
    </row>
    <row r="46" spans="1:22" x14ac:dyDescent="0.3">
      <c r="A46" s="36"/>
      <c r="B46" s="389"/>
      <c r="C46" s="406"/>
      <c r="D46" s="406"/>
      <c r="E46" s="406"/>
      <c r="F46" s="406"/>
      <c r="G46" s="406"/>
      <c r="H46" s="406"/>
      <c r="I46" s="406"/>
      <c r="J46" s="406"/>
      <c r="K46" s="406"/>
      <c r="L46" s="406"/>
      <c r="M46" s="42"/>
      <c r="N46" s="42"/>
      <c r="O46" s="42"/>
      <c r="P46" s="42"/>
      <c r="Q46" s="42"/>
      <c r="R46" s="42"/>
      <c r="S46" s="390"/>
      <c r="T46" s="39"/>
      <c r="V46" s="427"/>
    </row>
    <row r="47" spans="1:22" x14ac:dyDescent="0.3">
      <c r="A47" s="36"/>
      <c r="B47" s="389"/>
      <c r="C47" s="406"/>
      <c r="D47" s="406"/>
      <c r="E47" s="406"/>
      <c r="F47" s="406"/>
      <c r="G47" s="406"/>
      <c r="H47" s="406"/>
      <c r="I47" s="406"/>
      <c r="J47" s="406"/>
      <c r="K47" s="406"/>
      <c r="L47" s="406"/>
      <c r="M47" s="42"/>
      <c r="N47" s="42"/>
      <c r="O47" s="42"/>
      <c r="P47" s="42"/>
      <c r="Q47" s="42"/>
      <c r="R47" s="42"/>
      <c r="S47" s="390"/>
      <c r="T47" s="36"/>
      <c r="V47" s="427"/>
    </row>
    <row r="48" spans="1:22" x14ac:dyDescent="0.3">
      <c r="A48" s="36"/>
      <c r="B48" s="389"/>
      <c r="C48" s="42"/>
      <c r="D48" s="42"/>
      <c r="E48" s="42"/>
      <c r="F48" s="42"/>
      <c r="G48" s="42"/>
      <c r="H48" s="42"/>
      <c r="I48" s="42"/>
      <c r="J48" s="42"/>
      <c r="K48" s="42"/>
      <c r="L48" s="42"/>
      <c r="M48" s="42"/>
      <c r="N48" s="42"/>
      <c r="O48" s="42"/>
      <c r="P48" s="42"/>
      <c r="Q48" s="42"/>
      <c r="R48" s="42"/>
      <c r="S48" s="390"/>
      <c r="T48" s="36"/>
      <c r="V48" s="427"/>
    </row>
    <row r="49" spans="1:42" x14ac:dyDescent="0.3">
      <c r="A49" s="36"/>
      <c r="B49" s="389"/>
      <c r="C49" s="42"/>
      <c r="D49" s="42"/>
      <c r="E49" s="42"/>
      <c r="F49" s="42"/>
      <c r="G49" s="42"/>
      <c r="H49" s="42"/>
      <c r="I49" s="42"/>
      <c r="J49" s="42"/>
      <c r="K49" s="42"/>
      <c r="L49" s="42"/>
      <c r="M49" s="42"/>
      <c r="N49" s="42"/>
      <c r="O49" s="42"/>
      <c r="P49" s="42"/>
      <c r="Q49" s="42"/>
      <c r="R49" s="42"/>
      <c r="S49" s="390"/>
      <c r="T49" s="39"/>
      <c r="V49" s="427"/>
    </row>
    <row r="50" spans="1:42" x14ac:dyDescent="0.3">
      <c r="A50" s="36"/>
      <c r="B50" s="389"/>
      <c r="C50" s="42"/>
      <c r="D50" s="42"/>
      <c r="E50" s="42"/>
      <c r="F50" s="42"/>
      <c r="G50" s="42"/>
      <c r="H50" s="42"/>
      <c r="I50" s="42"/>
      <c r="J50" s="42"/>
      <c r="K50" s="42"/>
      <c r="L50" s="42"/>
      <c r="M50" s="42"/>
      <c r="N50" s="42"/>
      <c r="O50" s="42"/>
      <c r="P50" s="42"/>
      <c r="Q50" s="42"/>
      <c r="R50" s="42"/>
      <c r="S50" s="390"/>
      <c r="T50" s="39"/>
      <c r="V50" s="427"/>
    </row>
    <row r="51" spans="1:42" x14ac:dyDescent="0.3">
      <c r="A51" s="36"/>
      <c r="B51" s="389"/>
      <c r="C51" s="42"/>
      <c r="D51" s="42"/>
      <c r="E51" s="42"/>
      <c r="F51" s="42"/>
      <c r="G51" s="42"/>
      <c r="H51" s="42"/>
      <c r="I51" s="42"/>
      <c r="J51" s="42"/>
      <c r="K51" s="42"/>
      <c r="L51" s="42"/>
      <c r="M51" s="42"/>
      <c r="N51" s="42"/>
      <c r="O51" s="42"/>
      <c r="P51" s="42"/>
      <c r="Q51" s="42"/>
      <c r="R51" s="42"/>
      <c r="S51" s="390"/>
      <c r="T51" s="39"/>
      <c r="V51" s="427"/>
    </row>
    <row r="52" spans="1:42" x14ac:dyDescent="0.3">
      <c r="A52" s="36"/>
      <c r="B52" s="389"/>
      <c r="C52" s="42"/>
      <c r="D52" s="42"/>
      <c r="E52" s="42"/>
      <c r="F52" s="42"/>
      <c r="G52" s="42"/>
      <c r="H52" s="42"/>
      <c r="I52" s="42"/>
      <c r="J52" s="42"/>
      <c r="K52" s="42"/>
      <c r="L52" s="42"/>
      <c r="M52" s="42"/>
      <c r="N52" s="42"/>
      <c r="O52" s="42"/>
      <c r="P52" s="42"/>
      <c r="Q52" s="42"/>
      <c r="R52" s="42"/>
      <c r="S52" s="390"/>
      <c r="T52" s="39"/>
      <c r="V52" s="427"/>
      <c r="X52" s="41"/>
      <c r="Y52" s="41"/>
      <c r="Z52" s="41"/>
      <c r="AA52" s="41"/>
      <c r="AB52" s="41"/>
      <c r="AC52" s="41"/>
      <c r="AD52" s="41"/>
      <c r="AE52" s="41"/>
      <c r="AF52" s="41"/>
      <c r="AG52" s="41"/>
      <c r="AH52" s="41"/>
      <c r="AI52" s="41"/>
      <c r="AJ52" s="41"/>
      <c r="AK52" s="41"/>
      <c r="AL52" s="41"/>
      <c r="AM52" s="41"/>
      <c r="AN52" s="41"/>
      <c r="AO52" s="41"/>
      <c r="AP52" s="41"/>
    </row>
    <row r="53" spans="1:42" x14ac:dyDescent="0.3">
      <c r="A53" s="36"/>
      <c r="B53" s="389"/>
      <c r="C53" s="42"/>
      <c r="D53" s="42"/>
      <c r="E53" s="42"/>
      <c r="F53" s="42"/>
      <c r="G53" s="42"/>
      <c r="H53" s="42"/>
      <c r="I53" s="42"/>
      <c r="J53" s="42"/>
      <c r="K53" s="42"/>
      <c r="L53" s="42"/>
      <c r="M53" s="42"/>
      <c r="N53" s="42"/>
      <c r="O53" s="42"/>
      <c r="P53" s="42"/>
      <c r="Q53" s="42"/>
      <c r="R53" s="42"/>
      <c r="S53" s="390"/>
      <c r="T53" s="39"/>
      <c r="V53" s="427"/>
    </row>
    <row r="54" spans="1:42" x14ac:dyDescent="0.3">
      <c r="A54" s="36"/>
      <c r="B54" s="389"/>
      <c r="C54" s="42"/>
      <c r="D54" s="42"/>
      <c r="E54" s="42"/>
      <c r="F54" s="42"/>
      <c r="G54" s="42"/>
      <c r="H54" s="42"/>
      <c r="I54" s="42"/>
      <c r="J54" s="42"/>
      <c r="K54" s="42"/>
      <c r="L54" s="42"/>
      <c r="M54" s="42"/>
      <c r="N54" s="42"/>
      <c r="O54" s="42"/>
      <c r="P54" s="42"/>
      <c r="Q54" s="42"/>
      <c r="R54" s="42"/>
      <c r="S54" s="390"/>
      <c r="T54" s="39"/>
      <c r="V54" s="427"/>
    </row>
    <row r="55" spans="1:42" x14ac:dyDescent="0.3">
      <c r="A55" s="36"/>
      <c r="B55" s="389"/>
      <c r="C55" s="42"/>
      <c r="D55" s="42"/>
      <c r="E55" s="42"/>
      <c r="F55" s="42"/>
      <c r="G55" s="42"/>
      <c r="H55" s="42"/>
      <c r="I55" s="42"/>
      <c r="J55" s="42"/>
      <c r="K55" s="42"/>
      <c r="L55" s="42"/>
      <c r="M55" s="42"/>
      <c r="N55" s="42"/>
      <c r="O55" s="42"/>
      <c r="P55" s="42"/>
      <c r="Q55" s="42"/>
      <c r="R55" s="42"/>
      <c r="S55" s="390"/>
      <c r="T55" s="39"/>
      <c r="V55" s="427"/>
    </row>
    <row r="56" spans="1:42" x14ac:dyDescent="0.3">
      <c r="A56" s="36"/>
      <c r="B56" s="389"/>
      <c r="C56" s="42"/>
      <c r="D56" s="42"/>
      <c r="E56" s="42"/>
      <c r="F56" s="42"/>
      <c r="G56" s="42"/>
      <c r="H56" s="42"/>
      <c r="I56" s="42"/>
      <c r="J56" s="42"/>
      <c r="K56" s="42"/>
      <c r="L56" s="42"/>
      <c r="M56" s="42"/>
      <c r="N56" s="42"/>
      <c r="O56" s="42"/>
      <c r="P56" s="42"/>
      <c r="Q56" s="42"/>
      <c r="R56" s="42"/>
      <c r="S56" s="390"/>
      <c r="T56" s="39"/>
      <c r="V56" s="427"/>
    </row>
    <row r="57" spans="1:42" x14ac:dyDescent="0.3">
      <c r="A57" s="36"/>
      <c r="B57" s="389"/>
      <c r="C57" s="42"/>
      <c r="D57" s="42"/>
      <c r="E57" s="42"/>
      <c r="F57" s="42"/>
      <c r="G57" s="42"/>
      <c r="H57" s="42"/>
      <c r="I57" s="42"/>
      <c r="J57" s="42"/>
      <c r="K57" s="42"/>
      <c r="L57" s="42"/>
      <c r="M57" s="42"/>
      <c r="N57" s="42"/>
      <c r="O57" s="42"/>
      <c r="P57" s="42"/>
      <c r="Q57" s="42"/>
      <c r="R57" s="42"/>
      <c r="S57" s="390"/>
      <c r="T57" s="39"/>
      <c r="V57" s="427"/>
    </row>
    <row r="58" spans="1:42" x14ac:dyDescent="0.3">
      <c r="A58" s="36"/>
      <c r="B58" s="389"/>
      <c r="C58" s="42"/>
      <c r="D58" s="42"/>
      <c r="E58" s="42"/>
      <c r="F58" s="42"/>
      <c r="G58" s="42"/>
      <c r="H58" s="42"/>
      <c r="I58" s="42"/>
      <c r="J58" s="42"/>
      <c r="K58" s="42"/>
      <c r="L58" s="42"/>
      <c r="M58" s="42"/>
      <c r="N58" s="42"/>
      <c r="O58" s="42"/>
      <c r="P58" s="42"/>
      <c r="Q58" s="42"/>
      <c r="R58" s="42"/>
      <c r="S58" s="390"/>
      <c r="T58" s="39"/>
      <c r="V58" s="427"/>
    </row>
    <row r="59" spans="1:42" x14ac:dyDescent="0.3">
      <c r="A59" s="36"/>
      <c r="B59" s="389"/>
      <c r="C59" s="42"/>
      <c r="D59" s="42"/>
      <c r="E59" s="42"/>
      <c r="F59" s="42"/>
      <c r="G59" s="42"/>
      <c r="H59" s="42"/>
      <c r="I59" s="42"/>
      <c r="J59" s="42"/>
      <c r="K59" s="42"/>
      <c r="L59" s="42"/>
      <c r="M59" s="42"/>
      <c r="N59" s="42"/>
      <c r="O59" s="42"/>
      <c r="P59" s="42"/>
      <c r="Q59" s="42"/>
      <c r="R59" s="42"/>
      <c r="S59" s="390"/>
      <c r="T59" s="39"/>
      <c r="V59" s="427"/>
    </row>
    <row r="60" spans="1:42" ht="14.5" thickBot="1" x14ac:dyDescent="0.35">
      <c r="A60" s="36"/>
      <c r="B60" s="389"/>
      <c r="C60" s="42"/>
      <c r="D60" s="42"/>
      <c r="E60" s="42"/>
      <c r="F60" s="42"/>
      <c r="G60" s="42"/>
      <c r="H60" s="42"/>
      <c r="I60" s="42"/>
      <c r="J60" s="42"/>
      <c r="K60" s="42"/>
      <c r="L60" s="42"/>
      <c r="M60" s="42"/>
      <c r="N60" s="42"/>
      <c r="O60" s="42"/>
      <c r="P60" s="42"/>
      <c r="Q60" s="42"/>
      <c r="R60" s="42"/>
      <c r="S60" s="390"/>
      <c r="T60" s="39"/>
      <c r="V60" s="427"/>
    </row>
    <row r="61" spans="1:42" x14ac:dyDescent="0.3">
      <c r="A61" s="36"/>
      <c r="B61" s="389"/>
      <c r="C61" s="406"/>
      <c r="D61" s="413" t="s">
        <v>257</v>
      </c>
      <c r="E61" s="391" t="s">
        <v>214</v>
      </c>
      <c r="F61" s="42"/>
      <c r="G61" s="42"/>
      <c r="H61" s="42"/>
      <c r="I61" s="42"/>
      <c r="J61" s="42"/>
      <c r="K61" s="42"/>
      <c r="L61" s="42"/>
      <c r="M61" s="42"/>
      <c r="N61" s="42"/>
      <c r="O61" s="42"/>
      <c r="P61" s="42"/>
      <c r="Q61" s="42"/>
      <c r="R61" s="42"/>
      <c r="S61" s="390"/>
      <c r="T61" s="39"/>
      <c r="V61" s="427"/>
    </row>
    <row r="62" spans="1:42" x14ac:dyDescent="0.3">
      <c r="A62" s="36"/>
      <c r="B62" s="393"/>
      <c r="C62" s="410" t="s">
        <v>261</v>
      </c>
      <c r="D62" s="408"/>
      <c r="E62" s="394"/>
      <c r="F62" s="394"/>
      <c r="G62" s="394"/>
      <c r="H62" s="394"/>
      <c r="I62" s="394"/>
      <c r="J62" s="394"/>
      <c r="K62" s="394"/>
      <c r="L62" s="394"/>
      <c r="M62" s="394"/>
      <c r="N62" s="394"/>
      <c r="O62" s="394"/>
      <c r="P62" s="394"/>
      <c r="Q62" s="394"/>
      <c r="R62" s="394"/>
      <c r="S62" s="395"/>
      <c r="T62" s="39"/>
      <c r="V62" s="427"/>
    </row>
    <row r="63" spans="1:42" x14ac:dyDescent="0.3">
      <c r="A63" s="39"/>
      <c r="B63" s="39"/>
      <c r="C63" s="39"/>
      <c r="D63" s="39"/>
      <c r="E63" s="39"/>
      <c r="F63" s="39"/>
      <c r="G63" s="39"/>
      <c r="H63" s="39"/>
      <c r="I63" s="39"/>
      <c r="J63" s="39"/>
      <c r="K63" s="39"/>
      <c r="L63" s="39"/>
      <c r="M63" s="39"/>
      <c r="N63" s="39"/>
      <c r="O63" s="39"/>
      <c r="P63" s="39"/>
      <c r="Q63" s="39"/>
      <c r="R63" s="39"/>
      <c r="S63" s="39"/>
      <c r="T63" s="39"/>
    </row>
    <row r="64" spans="1:42" x14ac:dyDescent="0.3">
      <c r="A64" s="39"/>
      <c r="B64" s="39"/>
      <c r="C64" s="39"/>
      <c r="D64" s="39"/>
      <c r="E64" s="39"/>
      <c r="F64" s="39"/>
      <c r="G64" s="39"/>
      <c r="H64" s="39"/>
      <c r="I64" s="39"/>
      <c r="J64" s="39"/>
      <c r="K64" s="39"/>
      <c r="L64" s="39"/>
      <c r="M64" s="39"/>
      <c r="N64" s="39"/>
      <c r="O64" s="39"/>
      <c r="P64" s="39"/>
      <c r="Q64" s="39"/>
      <c r="R64" s="39"/>
      <c r="S64" s="39"/>
      <c r="T64" s="39"/>
    </row>
    <row r="65" spans="1:28" x14ac:dyDescent="0.3">
      <c r="A65" s="39"/>
      <c r="B65" s="39"/>
      <c r="C65" s="39"/>
      <c r="D65" s="39"/>
      <c r="E65" s="39"/>
      <c r="F65" s="39"/>
      <c r="G65" s="39"/>
      <c r="H65" s="39"/>
      <c r="I65" s="39"/>
      <c r="J65" s="39"/>
      <c r="K65" s="39"/>
      <c r="L65" s="39"/>
      <c r="M65" s="39"/>
      <c r="N65" s="39"/>
      <c r="O65" s="39"/>
      <c r="P65" s="39"/>
      <c r="Q65" s="39"/>
      <c r="R65" s="39"/>
      <c r="S65" s="39"/>
      <c r="T65" s="39"/>
    </row>
    <row r="66" spans="1:28" x14ac:dyDescent="0.3">
      <c r="A66" s="36"/>
      <c r="B66" s="36"/>
      <c r="C66" s="36"/>
      <c r="D66" s="36"/>
      <c r="E66" s="36"/>
      <c r="F66" s="36"/>
      <c r="G66" s="36"/>
      <c r="H66" s="36"/>
      <c r="I66" s="36"/>
      <c r="J66" s="36"/>
      <c r="K66" s="36"/>
      <c r="L66" s="36"/>
      <c r="M66" s="36"/>
      <c r="N66" s="36"/>
      <c r="O66" s="36"/>
      <c r="P66" s="36"/>
      <c r="Q66" s="36"/>
      <c r="R66" s="36"/>
      <c r="S66" s="36"/>
      <c r="T66" s="36"/>
    </row>
    <row r="67" spans="1:28" x14ac:dyDescent="0.3">
      <c r="A67" s="36"/>
      <c r="B67" s="36"/>
      <c r="C67" s="36"/>
      <c r="D67" s="36"/>
      <c r="E67" s="36"/>
      <c r="F67" s="36"/>
      <c r="G67" s="36"/>
      <c r="H67" s="36"/>
      <c r="I67" s="36"/>
      <c r="J67" s="36"/>
      <c r="K67" s="36"/>
      <c r="L67" s="36"/>
      <c r="M67" s="36"/>
      <c r="N67" s="36"/>
      <c r="O67" s="36"/>
      <c r="P67" s="36"/>
      <c r="Q67" s="36"/>
      <c r="R67" s="36"/>
      <c r="S67" s="36"/>
      <c r="T67" s="36"/>
    </row>
    <row r="68" spans="1:28" ht="16.5" x14ac:dyDescent="0.35">
      <c r="A68" s="36"/>
      <c r="B68" s="423" t="s">
        <v>328</v>
      </c>
      <c r="C68" s="424"/>
      <c r="D68" s="425"/>
      <c r="E68" s="425"/>
      <c r="F68" s="425"/>
      <c r="G68" s="425"/>
      <c r="H68" s="425"/>
      <c r="I68" s="425"/>
      <c r="J68" s="425"/>
      <c r="K68" s="425"/>
      <c r="L68" s="425"/>
      <c r="M68" s="425"/>
      <c r="N68" s="425"/>
      <c r="O68" s="425"/>
      <c r="P68" s="425"/>
      <c r="Q68" s="425"/>
      <c r="R68" s="425"/>
      <c r="S68" s="425"/>
      <c r="T68" s="426"/>
    </row>
    <row r="69" spans="1:28" x14ac:dyDescent="0.3">
      <c r="A69" s="36"/>
      <c r="B69" s="386"/>
      <c r="C69" s="387"/>
      <c r="D69" s="387"/>
      <c r="E69" s="387"/>
      <c r="F69" s="387"/>
      <c r="G69" s="387"/>
      <c r="H69" s="387"/>
      <c r="I69" s="387"/>
      <c r="J69" s="387"/>
      <c r="K69" s="387"/>
      <c r="L69" s="387"/>
      <c r="M69" s="387"/>
      <c r="N69" s="387"/>
      <c r="O69" s="387"/>
      <c r="P69" s="387"/>
      <c r="Q69" s="387"/>
      <c r="R69" s="387"/>
      <c r="S69" s="387"/>
      <c r="T69" s="388"/>
    </row>
    <row r="70" spans="1:28" ht="42" x14ac:dyDescent="0.3">
      <c r="A70" s="36"/>
      <c r="B70" s="389"/>
      <c r="C70" s="523"/>
      <c r="D70" s="526" t="s">
        <v>57</v>
      </c>
      <c r="E70" s="526" t="s">
        <v>58</v>
      </c>
      <c r="F70" s="526" t="s">
        <v>15</v>
      </c>
      <c r="G70" s="526" t="s">
        <v>128</v>
      </c>
      <c r="H70" s="526" t="s">
        <v>18</v>
      </c>
      <c r="I70" s="526" t="s">
        <v>129</v>
      </c>
      <c r="J70" s="526" t="s">
        <v>130</v>
      </c>
      <c r="K70" s="527" t="s">
        <v>131</v>
      </c>
      <c r="L70" s="42"/>
      <c r="M70" s="42"/>
      <c r="N70" s="42"/>
      <c r="O70" s="42"/>
      <c r="P70" s="42"/>
      <c r="Q70" s="42"/>
      <c r="R70" s="42"/>
      <c r="S70" s="42"/>
      <c r="T70" s="390"/>
      <c r="X70" s="526" t="s">
        <v>57</v>
      </c>
      <c r="Y70" s="526" t="s">
        <v>58</v>
      </c>
      <c r="Z70" s="526" t="s">
        <v>15</v>
      </c>
      <c r="AA70" s="526" t="s">
        <v>128</v>
      </c>
      <c r="AB70" s="526" t="s">
        <v>18</v>
      </c>
    </row>
    <row r="71" spans="1:28" x14ac:dyDescent="0.3">
      <c r="A71" s="36"/>
      <c r="B71" s="389"/>
      <c r="C71" s="42">
        <v>1</v>
      </c>
      <c r="D71" s="42">
        <v>2</v>
      </c>
      <c r="E71" s="42">
        <v>3</v>
      </c>
      <c r="F71" s="42">
        <v>4</v>
      </c>
      <c r="G71" s="42">
        <v>5</v>
      </c>
      <c r="H71" s="42">
        <v>6</v>
      </c>
      <c r="I71" s="42">
        <v>7</v>
      </c>
      <c r="J71" s="42">
        <v>8</v>
      </c>
      <c r="K71" s="42">
        <v>9</v>
      </c>
      <c r="L71" s="42"/>
      <c r="M71" s="42"/>
      <c r="N71" s="42"/>
      <c r="O71" s="42"/>
      <c r="P71" s="42"/>
      <c r="Q71" s="42"/>
      <c r="R71" s="42"/>
      <c r="S71" s="42"/>
      <c r="T71" s="390"/>
    </row>
    <row r="72" spans="1:28" ht="26.25" customHeight="1" x14ac:dyDescent="0.3">
      <c r="A72" s="36"/>
      <c r="B72" s="389"/>
      <c r="C72" s="529" t="s">
        <v>329</v>
      </c>
      <c r="D72" s="528" t="s">
        <v>62</v>
      </c>
      <c r="E72" s="528" t="s">
        <v>214</v>
      </c>
      <c r="F72" s="528" t="s">
        <v>214</v>
      </c>
      <c r="G72" s="528" t="s">
        <v>214</v>
      </c>
      <c r="H72" s="528" t="s">
        <v>214</v>
      </c>
      <c r="I72" s="528" t="s">
        <v>214</v>
      </c>
      <c r="J72" s="528" t="s">
        <v>62</v>
      </c>
      <c r="K72" s="528"/>
      <c r="L72" s="42"/>
      <c r="M72" s="42"/>
      <c r="N72" s="42"/>
      <c r="O72" s="42"/>
      <c r="P72" s="42"/>
      <c r="Q72" s="42"/>
      <c r="R72" s="42"/>
      <c r="S72" s="42"/>
      <c r="T72" s="390"/>
      <c r="W72" s="529" t="s">
        <v>329</v>
      </c>
      <c r="X72" s="528" t="s">
        <v>62</v>
      </c>
      <c r="Y72" s="528" t="s">
        <v>214</v>
      </c>
      <c r="Z72" s="528" t="s">
        <v>214</v>
      </c>
      <c r="AA72" s="528" t="s">
        <v>214</v>
      </c>
      <c r="AB72" s="528" t="s">
        <v>214</v>
      </c>
    </row>
    <row r="73" spans="1:28" hidden="1" x14ac:dyDescent="0.3">
      <c r="A73" s="36"/>
      <c r="B73" s="389"/>
      <c r="C73" s="525">
        <f t="shared" ref="C73:C87" si="0">C74-1</f>
        <v>2000</v>
      </c>
      <c r="D73" s="524" t="e">
        <f>NA()</f>
        <v>#N/A</v>
      </c>
      <c r="E73" s="524" t="e">
        <f>NA()</f>
        <v>#N/A</v>
      </c>
      <c r="F73" s="524" t="e">
        <f>NA()</f>
        <v>#N/A</v>
      </c>
      <c r="G73" s="524" t="e">
        <f>NA()</f>
        <v>#N/A</v>
      </c>
      <c r="H73" s="524" t="e">
        <f>NA()</f>
        <v>#N/A</v>
      </c>
      <c r="I73" s="524" t="e">
        <f>NA()</f>
        <v>#N/A</v>
      </c>
      <c r="J73" s="524" t="e">
        <f>NA()</f>
        <v>#N/A</v>
      </c>
      <c r="K73" s="524" t="e">
        <f>NA()</f>
        <v>#N/A</v>
      </c>
      <c r="L73" s="42"/>
      <c r="M73" s="42"/>
      <c r="N73" s="42"/>
      <c r="O73" s="42"/>
      <c r="P73" s="42"/>
      <c r="Q73" s="42"/>
      <c r="R73" s="42"/>
      <c r="S73" s="42"/>
      <c r="T73" s="390"/>
      <c r="W73" s="525">
        <f t="shared" ref="W73:W88" si="1">C73</f>
        <v>2000</v>
      </c>
      <c r="X73" s="733" t="e">
        <f t="shared" ref="X73:X89" si="2">VLOOKUP(X$70,$B$178:$W$185,HLOOKUP($W73,$B$178:$W$185,2,FALSE),FALSE)</f>
        <v>#N/A</v>
      </c>
      <c r="Y73" s="733">
        <f t="shared" ref="Y73:AB73" ca="1" si="3">VLOOKUP(Y$70,$B$178:$W$185,HLOOKUP($W73,$B$178:$W$185,2,FALSE),FALSE)</f>
        <v>19.185665146788256</v>
      </c>
      <c r="Z73" s="733">
        <f t="shared" si="3"/>
        <v>19.109891098910989</v>
      </c>
      <c r="AA73" s="733" t="e">
        <f t="shared" si="3"/>
        <v>#N/A</v>
      </c>
      <c r="AB73" s="733">
        <f t="shared" si="3"/>
        <v>58.721469776774526</v>
      </c>
    </row>
    <row r="74" spans="1:28" hidden="1" x14ac:dyDescent="0.3">
      <c r="A74" s="36"/>
      <c r="B74" s="389"/>
      <c r="C74" s="525">
        <f t="shared" si="0"/>
        <v>2001</v>
      </c>
      <c r="D74" s="524" t="e">
        <f>NA()</f>
        <v>#N/A</v>
      </c>
      <c r="E74" s="524" t="e">
        <f>NA()</f>
        <v>#N/A</v>
      </c>
      <c r="F74" s="524" t="e">
        <f>NA()</f>
        <v>#N/A</v>
      </c>
      <c r="G74" s="524" t="e">
        <f>NA()</f>
        <v>#N/A</v>
      </c>
      <c r="H74" s="524" t="e">
        <f>NA()</f>
        <v>#N/A</v>
      </c>
      <c r="I74" s="524" t="e">
        <f>NA()</f>
        <v>#N/A</v>
      </c>
      <c r="J74" s="524" t="e">
        <f>NA()</f>
        <v>#N/A</v>
      </c>
      <c r="K74" s="524" t="e">
        <f>NA()</f>
        <v>#N/A</v>
      </c>
      <c r="L74" s="42"/>
      <c r="M74" s="42"/>
      <c r="N74" s="42"/>
      <c r="O74" s="42"/>
      <c r="P74" s="42"/>
      <c r="Q74" s="42"/>
      <c r="R74" s="42"/>
      <c r="S74" s="42"/>
      <c r="T74" s="390"/>
      <c r="W74" s="525">
        <f t="shared" si="1"/>
        <v>2001</v>
      </c>
      <c r="X74" s="733" t="e">
        <f t="shared" si="2"/>
        <v>#N/A</v>
      </c>
      <c r="Y74" s="733">
        <f t="shared" ref="Y74:AB89" ca="1" si="4">VLOOKUP(Y$70,$B$178:$W$185,HLOOKUP($W74,$B$178:$W$185,2,FALSE),FALSE)</f>
        <v>23.3257339412847</v>
      </c>
      <c r="Z74" s="733">
        <f t="shared" si="4"/>
        <v>17.083070830708305</v>
      </c>
      <c r="AA74" s="733" t="e">
        <f t="shared" si="4"/>
        <v>#N/A</v>
      </c>
      <c r="AB74" s="733">
        <f t="shared" si="4"/>
        <v>60.08276899924757</v>
      </c>
    </row>
    <row r="75" spans="1:28" hidden="1" x14ac:dyDescent="0.3">
      <c r="A75" s="36"/>
      <c r="B75" s="389"/>
      <c r="C75" s="525">
        <f t="shared" si="0"/>
        <v>2002</v>
      </c>
      <c r="D75" s="524" t="e">
        <f>NA()</f>
        <v>#N/A</v>
      </c>
      <c r="E75" s="524" t="e">
        <f>NA()</f>
        <v>#N/A</v>
      </c>
      <c r="F75" s="524" t="e">
        <f>NA()</f>
        <v>#N/A</v>
      </c>
      <c r="G75" s="524" t="e">
        <f>NA()</f>
        <v>#N/A</v>
      </c>
      <c r="H75" s="524" t="e">
        <f>NA()</f>
        <v>#N/A</v>
      </c>
      <c r="I75" s="524" t="e">
        <f>NA()</f>
        <v>#N/A</v>
      </c>
      <c r="J75" s="524" t="e">
        <f>NA()</f>
        <v>#N/A</v>
      </c>
      <c r="K75" s="524" t="e">
        <f>NA()</f>
        <v>#N/A</v>
      </c>
      <c r="L75" s="42"/>
      <c r="M75" s="42"/>
      <c r="N75" s="42"/>
      <c r="O75" s="42"/>
      <c r="P75" s="42"/>
      <c r="Q75" s="42"/>
      <c r="R75" s="42"/>
      <c r="S75" s="42"/>
      <c r="T75" s="390"/>
      <c r="W75" s="525">
        <f t="shared" si="1"/>
        <v>2002</v>
      </c>
      <c r="X75" s="733" t="e">
        <f t="shared" si="2"/>
        <v>#N/A</v>
      </c>
      <c r="Y75" s="733">
        <f t="shared" ca="1" si="4"/>
        <v>20.838332933365329</v>
      </c>
      <c r="Z75" s="733">
        <f t="shared" si="4"/>
        <v>18.087480874808747</v>
      </c>
      <c r="AA75" s="733" t="e">
        <f t="shared" si="4"/>
        <v>#N/A</v>
      </c>
      <c r="AB75" s="733">
        <f t="shared" si="4"/>
        <v>59.593052420366192</v>
      </c>
    </row>
    <row r="76" spans="1:28" hidden="1" x14ac:dyDescent="0.3">
      <c r="A76" s="36"/>
      <c r="B76" s="389"/>
      <c r="C76" s="525">
        <f t="shared" si="0"/>
        <v>2003</v>
      </c>
      <c r="D76" s="524" t="e">
        <f>NA()</f>
        <v>#N/A</v>
      </c>
      <c r="E76" s="524" t="e">
        <f>NA()</f>
        <v>#N/A</v>
      </c>
      <c r="F76" s="524" t="e">
        <f>NA()</f>
        <v>#N/A</v>
      </c>
      <c r="G76" s="524" t="e">
        <f>NA()</f>
        <v>#N/A</v>
      </c>
      <c r="H76" s="524" t="e">
        <f>NA()</f>
        <v>#N/A</v>
      </c>
      <c r="I76" s="524" t="e">
        <f>NA()</f>
        <v>#N/A</v>
      </c>
      <c r="J76" s="524" t="e">
        <f>NA()</f>
        <v>#N/A</v>
      </c>
      <c r="K76" s="524" t="e">
        <f>NA()</f>
        <v>#N/A</v>
      </c>
      <c r="L76" s="42"/>
      <c r="M76" s="42"/>
      <c r="N76" s="42"/>
      <c r="O76" s="42"/>
      <c r="P76" s="42"/>
      <c r="Q76" s="42"/>
      <c r="R76" s="42"/>
      <c r="S76" s="42"/>
      <c r="T76" s="390"/>
      <c r="W76" s="525">
        <f t="shared" si="1"/>
        <v>2003</v>
      </c>
      <c r="X76" s="733" t="e">
        <f t="shared" si="2"/>
        <v>#N/A</v>
      </c>
      <c r="Y76" s="733">
        <f t="shared" ca="1" si="4"/>
        <v>22.238220942324613</v>
      </c>
      <c r="Z76" s="733">
        <f t="shared" si="4"/>
        <v>18.081180811808117</v>
      </c>
      <c r="AA76" s="733" t="e">
        <f t="shared" si="4"/>
        <v>#N/A</v>
      </c>
      <c r="AB76" s="733">
        <f t="shared" si="4"/>
        <v>65.791948833709554</v>
      </c>
    </row>
    <row r="77" spans="1:28" hidden="1" x14ac:dyDescent="0.3">
      <c r="A77" s="36"/>
      <c r="B77" s="389"/>
      <c r="C77" s="525">
        <f t="shared" si="0"/>
        <v>2004</v>
      </c>
      <c r="D77" s="524" t="e">
        <f>NA()</f>
        <v>#N/A</v>
      </c>
      <c r="E77" s="524" t="e">
        <f>NA()</f>
        <v>#N/A</v>
      </c>
      <c r="F77" s="524" t="e">
        <f>NA()</f>
        <v>#N/A</v>
      </c>
      <c r="G77" s="524" t="e">
        <f>NA()</f>
        <v>#N/A</v>
      </c>
      <c r="H77" s="524" t="e">
        <f>NA()</f>
        <v>#N/A</v>
      </c>
      <c r="I77" s="524" t="e">
        <f>NA()</f>
        <v>#N/A</v>
      </c>
      <c r="J77" s="524" t="e">
        <f>NA()</f>
        <v>#N/A</v>
      </c>
      <c r="K77" s="524" t="e">
        <f>NA()</f>
        <v>#N/A</v>
      </c>
      <c r="L77" s="42"/>
      <c r="M77" s="42"/>
      <c r="N77" s="42"/>
      <c r="O77" s="42"/>
      <c r="P77" s="42"/>
      <c r="Q77" s="42"/>
      <c r="R77" s="42"/>
      <c r="S77" s="42"/>
      <c r="T77" s="390"/>
      <c r="W77" s="525">
        <f t="shared" si="1"/>
        <v>2004</v>
      </c>
      <c r="X77" s="733" t="e">
        <f t="shared" si="2"/>
        <v>#N/A</v>
      </c>
      <c r="Y77" s="733">
        <f t="shared" ca="1" si="4"/>
        <v>22.038236941044715</v>
      </c>
      <c r="Z77" s="733">
        <f t="shared" si="4"/>
        <v>16.822068220682205</v>
      </c>
      <c r="AA77" s="733">
        <f t="shared" si="4"/>
        <v>37.583333333333329</v>
      </c>
      <c r="AB77" s="733">
        <f t="shared" si="4"/>
        <v>67.662402809129674</v>
      </c>
    </row>
    <row r="78" spans="1:28" hidden="1" x14ac:dyDescent="0.3">
      <c r="A78" s="36"/>
      <c r="B78" s="389"/>
      <c r="C78" s="525">
        <f t="shared" si="0"/>
        <v>2005</v>
      </c>
      <c r="D78" s="524" t="e">
        <f>NA()</f>
        <v>#N/A</v>
      </c>
      <c r="E78" s="524" t="e">
        <f>NA()</f>
        <v>#N/A</v>
      </c>
      <c r="F78" s="524" t="e">
        <f>NA()</f>
        <v>#N/A</v>
      </c>
      <c r="G78" s="524" t="e">
        <f>NA()</f>
        <v>#N/A</v>
      </c>
      <c r="H78" s="524" t="e">
        <f>NA()</f>
        <v>#N/A</v>
      </c>
      <c r="I78" s="524" t="e">
        <f>NA()</f>
        <v>#N/A</v>
      </c>
      <c r="J78" s="524" t="e">
        <f>NA()</f>
        <v>#N/A</v>
      </c>
      <c r="K78" s="524" t="e">
        <f>NA()</f>
        <v>#N/A</v>
      </c>
      <c r="L78" s="42"/>
      <c r="M78" s="42"/>
      <c r="N78" s="42"/>
      <c r="O78" s="42"/>
      <c r="P78" s="42"/>
      <c r="Q78" s="42"/>
      <c r="R78" s="42"/>
      <c r="S78" s="42"/>
      <c r="T78" s="390"/>
      <c r="W78" s="525">
        <f t="shared" si="1"/>
        <v>2005</v>
      </c>
      <c r="X78" s="733">
        <f t="shared" ca="1" si="2"/>
        <v>67.400000000000006</v>
      </c>
      <c r="Y78" s="733">
        <f t="shared" ca="1" si="4"/>
        <v>26.657867370610351</v>
      </c>
      <c r="Z78" s="733">
        <f t="shared" si="4"/>
        <v>23.803438034380346</v>
      </c>
      <c r="AA78" s="733">
        <f t="shared" si="4"/>
        <v>49.083333333333336</v>
      </c>
      <c r="AB78" s="733">
        <f t="shared" si="4"/>
        <v>77.25420115374969</v>
      </c>
    </row>
    <row r="79" spans="1:28" hidden="1" x14ac:dyDescent="0.3">
      <c r="A79" s="36"/>
      <c r="B79" s="389"/>
      <c r="C79" s="525">
        <f t="shared" si="0"/>
        <v>2006</v>
      </c>
      <c r="D79" s="524" t="e">
        <f>NA()</f>
        <v>#N/A</v>
      </c>
      <c r="E79" s="524" t="e">
        <f>NA()</f>
        <v>#N/A</v>
      </c>
      <c r="F79" s="524" t="e">
        <f>NA()</f>
        <v>#N/A</v>
      </c>
      <c r="G79" s="524" t="e">
        <f>NA()</f>
        <v>#N/A</v>
      </c>
      <c r="H79" s="524" t="e">
        <f>NA()</f>
        <v>#N/A</v>
      </c>
      <c r="I79" s="524" t="e">
        <f>NA()</f>
        <v>#N/A</v>
      </c>
      <c r="J79" s="524" t="e">
        <f>NA()</f>
        <v>#N/A</v>
      </c>
      <c r="K79" s="524" t="e">
        <f>NA()</f>
        <v>#N/A</v>
      </c>
      <c r="L79" s="42"/>
      <c r="M79" s="42"/>
      <c r="N79" s="42"/>
      <c r="O79" s="42"/>
      <c r="P79" s="42"/>
      <c r="Q79" s="42"/>
      <c r="R79" s="42"/>
      <c r="S79" s="42"/>
      <c r="T79" s="390"/>
      <c r="W79" s="525">
        <f t="shared" si="1"/>
        <v>2006</v>
      </c>
      <c r="X79" s="733">
        <f t="shared" ca="1" si="2"/>
        <v>67.400000000000006</v>
      </c>
      <c r="Y79" s="733">
        <f t="shared" ca="1" si="4"/>
        <v>33.417326613870891</v>
      </c>
      <c r="Z79" s="733">
        <f t="shared" si="4"/>
        <v>26.592565925659258</v>
      </c>
      <c r="AA79" s="733">
        <f t="shared" si="4"/>
        <v>54.25</v>
      </c>
      <c r="AB79" s="733">
        <f t="shared" si="4"/>
        <v>85.719839478304493</v>
      </c>
    </row>
    <row r="80" spans="1:28" hidden="1" x14ac:dyDescent="0.3">
      <c r="A80" s="36"/>
      <c r="B80" s="389"/>
      <c r="C80" s="525">
        <f t="shared" si="0"/>
        <v>2007</v>
      </c>
      <c r="D80" s="524" t="e">
        <f>NA()</f>
        <v>#N/A</v>
      </c>
      <c r="E80" s="524" t="e">
        <f>NA()</f>
        <v>#N/A</v>
      </c>
      <c r="F80" s="524" t="e">
        <f>NA()</f>
        <v>#N/A</v>
      </c>
      <c r="G80" s="524" t="e">
        <f>NA()</f>
        <v>#N/A</v>
      </c>
      <c r="H80" s="524" t="e">
        <f>NA()</f>
        <v>#N/A</v>
      </c>
      <c r="I80" s="524" t="e">
        <f>NA()</f>
        <v>#N/A</v>
      </c>
      <c r="J80" s="524" t="e">
        <f>NA()</f>
        <v>#N/A</v>
      </c>
      <c r="K80" s="524" t="e">
        <f>NA()</f>
        <v>#N/A</v>
      </c>
      <c r="L80" s="42"/>
      <c r="M80" s="42"/>
      <c r="N80" s="42"/>
      <c r="O80" s="42"/>
      <c r="P80" s="42"/>
      <c r="Q80" s="42"/>
      <c r="R80" s="42"/>
      <c r="S80" s="42"/>
      <c r="T80" s="390"/>
      <c r="W80" s="525">
        <f t="shared" si="1"/>
        <v>2007</v>
      </c>
      <c r="X80" s="733">
        <f t="shared" ca="1" si="2"/>
        <v>68.5</v>
      </c>
      <c r="Y80" s="733">
        <f t="shared" ca="1" si="4"/>
        <v>31.317494600431964</v>
      </c>
      <c r="Z80" s="733">
        <f t="shared" si="4"/>
        <v>28.033480334803347</v>
      </c>
      <c r="AA80" s="733">
        <f t="shared" si="4"/>
        <v>54.416666666666664</v>
      </c>
      <c r="AB80" s="733">
        <f t="shared" si="4"/>
        <v>87.114998745924268</v>
      </c>
    </row>
    <row r="81" spans="1:28" hidden="1" x14ac:dyDescent="0.3">
      <c r="A81" s="36"/>
      <c r="B81" s="389"/>
      <c r="C81" s="525">
        <f t="shared" si="0"/>
        <v>2008</v>
      </c>
      <c r="D81" s="524" t="e">
        <f>NA()</f>
        <v>#N/A</v>
      </c>
      <c r="E81" s="524" t="e">
        <f>NA()</f>
        <v>#N/A</v>
      </c>
      <c r="F81" s="524" t="e">
        <f>NA()</f>
        <v>#N/A</v>
      </c>
      <c r="G81" s="524" t="e">
        <f>NA()</f>
        <v>#N/A</v>
      </c>
      <c r="H81" s="524" t="e">
        <f>NA()</f>
        <v>#N/A</v>
      </c>
      <c r="I81" s="524" t="e">
        <f>NA()</f>
        <v>#N/A</v>
      </c>
      <c r="J81" s="524" t="e">
        <f>NA()</f>
        <v>#N/A</v>
      </c>
      <c r="K81" s="524" t="e">
        <f>NA()</f>
        <v>#N/A</v>
      </c>
      <c r="L81" s="42"/>
      <c r="M81" s="42"/>
      <c r="N81" s="42"/>
      <c r="O81" s="42"/>
      <c r="P81" s="42"/>
      <c r="Q81" s="42"/>
      <c r="R81" s="42"/>
      <c r="S81" s="42"/>
      <c r="T81" s="390"/>
      <c r="W81" s="525">
        <f t="shared" si="1"/>
        <v>2008</v>
      </c>
      <c r="X81" s="733">
        <f t="shared" ca="1" si="2"/>
        <v>57.249999999999993</v>
      </c>
      <c r="Y81" s="733">
        <f t="shared" ca="1" si="4"/>
        <v>40.166666666666664</v>
      </c>
      <c r="Z81" s="733">
        <f t="shared" si="4"/>
        <v>36.177661776617768</v>
      </c>
      <c r="AA81" s="733">
        <f t="shared" si="4"/>
        <v>69.666666666666671</v>
      </c>
      <c r="AB81" s="733">
        <f t="shared" si="4"/>
        <v>98.355279658891405</v>
      </c>
    </row>
    <row r="82" spans="1:28" hidden="1" x14ac:dyDescent="0.3">
      <c r="A82" s="36"/>
      <c r="B82" s="389"/>
      <c r="C82" s="525">
        <f t="shared" si="0"/>
        <v>2009</v>
      </c>
      <c r="D82" s="524" t="e">
        <f>NA()</f>
        <v>#N/A</v>
      </c>
      <c r="E82" s="524" t="e">
        <f>NA()</f>
        <v>#N/A</v>
      </c>
      <c r="F82" s="524" t="e">
        <f>NA()</f>
        <v>#N/A</v>
      </c>
      <c r="G82" s="524" t="e">
        <f>NA()</f>
        <v>#N/A</v>
      </c>
      <c r="H82" s="524" t="e">
        <f>NA()</f>
        <v>#N/A</v>
      </c>
      <c r="I82" s="524" t="e">
        <f>NA()</f>
        <v>#N/A</v>
      </c>
      <c r="J82" s="524" t="e">
        <f>NA()</f>
        <v>#N/A</v>
      </c>
      <c r="K82" s="524" t="e">
        <f>NA()</f>
        <v>#N/A</v>
      </c>
      <c r="L82" s="42"/>
      <c r="M82" s="42"/>
      <c r="N82" s="42"/>
      <c r="O82" s="42"/>
      <c r="P82" s="42"/>
      <c r="Q82" s="42"/>
      <c r="R82" s="42"/>
      <c r="S82" s="42"/>
      <c r="T82" s="390"/>
      <c r="W82" s="525">
        <f t="shared" si="1"/>
        <v>2009</v>
      </c>
      <c r="X82" s="733">
        <f t="shared" ca="1" si="2"/>
        <v>64.900000000000006</v>
      </c>
      <c r="Y82" s="733">
        <f t="shared" ca="1" si="4"/>
        <v>37.611111111111114</v>
      </c>
      <c r="Z82" s="733">
        <f t="shared" si="4"/>
        <v>28.619386193861938</v>
      </c>
      <c r="AA82" s="733">
        <f t="shared" si="4"/>
        <v>48.083333333333329</v>
      </c>
      <c r="AB82" s="733">
        <f t="shared" si="4"/>
        <v>85.617005267118145</v>
      </c>
    </row>
    <row r="83" spans="1:28" hidden="1" x14ac:dyDescent="0.3">
      <c r="A83" s="36"/>
      <c r="B83" s="389"/>
      <c r="C83" s="525">
        <f t="shared" si="0"/>
        <v>2010</v>
      </c>
      <c r="D83" s="524" t="e">
        <f>NA()</f>
        <v>#N/A</v>
      </c>
      <c r="E83" s="524" t="e">
        <f>NA()</f>
        <v>#N/A</v>
      </c>
      <c r="F83" s="524" t="e">
        <f>NA()</f>
        <v>#N/A</v>
      </c>
      <c r="G83" s="524" t="e">
        <f>NA()</f>
        <v>#N/A</v>
      </c>
      <c r="H83" s="524" t="e">
        <f>NA()</f>
        <v>#N/A</v>
      </c>
      <c r="I83" s="524" t="e">
        <f>NA()</f>
        <v>#N/A</v>
      </c>
      <c r="J83" s="524" t="e">
        <f>NA()</f>
        <v>#N/A</v>
      </c>
      <c r="K83" s="524" t="e">
        <f>NA()</f>
        <v>#N/A</v>
      </c>
      <c r="L83" s="42"/>
      <c r="M83" s="42"/>
      <c r="N83" s="42"/>
      <c r="O83" s="42"/>
      <c r="P83" s="42"/>
      <c r="Q83" s="42"/>
      <c r="R83" s="42"/>
      <c r="S83" s="42"/>
      <c r="T83" s="390"/>
      <c r="W83" s="525">
        <f t="shared" si="1"/>
        <v>2010</v>
      </c>
      <c r="X83" s="733">
        <f t="shared" ca="1" si="2"/>
        <v>66.099999999999994</v>
      </c>
      <c r="Y83" s="733">
        <f t="shared" ca="1" si="4"/>
        <v>37.777777777777779</v>
      </c>
      <c r="Z83" s="733">
        <f t="shared" si="4"/>
        <v>37.049770497704976</v>
      </c>
      <c r="AA83" s="733">
        <f t="shared" si="4"/>
        <v>59.833333333333336</v>
      </c>
      <c r="AB83" s="733">
        <f t="shared" si="4"/>
        <v>91.265362427890651</v>
      </c>
    </row>
    <row r="84" spans="1:28" hidden="1" x14ac:dyDescent="0.3">
      <c r="A84" s="36"/>
      <c r="B84" s="389"/>
      <c r="C84" s="525">
        <f t="shared" si="0"/>
        <v>2011</v>
      </c>
      <c r="D84" s="524" t="e">
        <f>NA()</f>
        <v>#N/A</v>
      </c>
      <c r="E84" s="524" t="e">
        <f>NA()</f>
        <v>#N/A</v>
      </c>
      <c r="F84" s="524" t="e">
        <f>NA()</f>
        <v>#N/A</v>
      </c>
      <c r="G84" s="524" t="e">
        <f>NA()</f>
        <v>#N/A</v>
      </c>
      <c r="H84" s="524" t="e">
        <f>NA()</f>
        <v>#N/A</v>
      </c>
      <c r="I84" s="524" t="e">
        <f>NA()</f>
        <v>#N/A</v>
      </c>
      <c r="J84" s="524" t="e">
        <f>NA()</f>
        <v>#N/A</v>
      </c>
      <c r="K84" s="524" t="e">
        <f>NA()</f>
        <v>#N/A</v>
      </c>
      <c r="L84" s="42"/>
      <c r="M84" s="42"/>
      <c r="N84" s="42"/>
      <c r="O84" s="42"/>
      <c r="P84" s="42"/>
      <c r="Q84" s="42"/>
      <c r="R84" s="42"/>
      <c r="S84" s="42"/>
      <c r="T84" s="390"/>
      <c r="W84" s="525">
        <f t="shared" si="1"/>
        <v>2011</v>
      </c>
      <c r="X84" s="733">
        <f t="shared" ca="1" si="2"/>
        <v>72.099999999999994</v>
      </c>
      <c r="Y84" s="733">
        <f t="shared" ca="1" si="4"/>
        <v>41.277777777777786</v>
      </c>
      <c r="Z84" s="733">
        <f t="shared" si="4"/>
        <v>47.102871028710283</v>
      </c>
      <c r="AA84" s="733">
        <f t="shared" si="4"/>
        <v>74.166666666666671</v>
      </c>
      <c r="AB84" s="733">
        <f t="shared" si="4"/>
        <v>104.73413594181089</v>
      </c>
    </row>
    <row r="85" spans="1:28" hidden="1" x14ac:dyDescent="0.3">
      <c r="A85" s="36"/>
      <c r="B85" s="389"/>
      <c r="C85" s="525">
        <f t="shared" si="0"/>
        <v>2012</v>
      </c>
      <c r="D85" s="524" t="e">
        <f>NA()</f>
        <v>#N/A</v>
      </c>
      <c r="E85" s="524" t="e">
        <f>NA()</f>
        <v>#N/A</v>
      </c>
      <c r="F85" s="524" t="e">
        <f>NA()</f>
        <v>#N/A</v>
      </c>
      <c r="G85" s="524" t="e">
        <f>NA()</f>
        <v>#N/A</v>
      </c>
      <c r="H85" s="524" t="e">
        <f>NA()</f>
        <v>#N/A</v>
      </c>
      <c r="I85" s="524" t="e">
        <f>NA()</f>
        <v>#N/A</v>
      </c>
      <c r="J85" s="524" t="e">
        <f>NA()</f>
        <v>#N/A</v>
      </c>
      <c r="K85" s="524" t="e">
        <f>NA()</f>
        <v>#N/A</v>
      </c>
      <c r="L85" s="42"/>
      <c r="M85" s="42"/>
      <c r="N85" s="42"/>
      <c r="O85" s="42"/>
      <c r="P85" s="42"/>
      <c r="Q85" s="42"/>
      <c r="R85" s="42"/>
      <c r="S85" s="42"/>
      <c r="T85" s="390"/>
      <c r="W85" s="525">
        <f t="shared" si="1"/>
        <v>2012</v>
      </c>
      <c r="X85" s="733">
        <f t="shared" ca="1" si="2"/>
        <v>75.550000000000011</v>
      </c>
      <c r="Y85" s="733">
        <f t="shared" ca="1" si="4"/>
        <v>43.999999999999993</v>
      </c>
      <c r="Z85" s="733">
        <f t="shared" si="4"/>
        <v>54.055440554405543</v>
      </c>
      <c r="AA85" s="733">
        <f t="shared" si="4"/>
        <v>81</v>
      </c>
      <c r="AB85" s="733">
        <f t="shared" si="4"/>
        <v>112.30812641083523</v>
      </c>
    </row>
    <row r="86" spans="1:28" hidden="1" x14ac:dyDescent="0.3">
      <c r="A86" s="36"/>
      <c r="B86" s="389"/>
      <c r="C86" s="525">
        <f t="shared" si="0"/>
        <v>2013</v>
      </c>
      <c r="D86" s="524" t="e">
        <f>NA()</f>
        <v>#N/A</v>
      </c>
      <c r="E86" s="524" t="e">
        <f>NA()</f>
        <v>#N/A</v>
      </c>
      <c r="F86" s="524" t="e">
        <f>NA()</f>
        <v>#N/A</v>
      </c>
      <c r="G86" s="524" t="e">
        <f>NA()</f>
        <v>#N/A</v>
      </c>
      <c r="H86" s="524" t="e">
        <f>NA()</f>
        <v>#N/A</v>
      </c>
      <c r="I86" s="524" t="e">
        <f>NA()</f>
        <v>#N/A</v>
      </c>
      <c r="J86" s="524" t="e">
        <f>NA()</f>
        <v>#N/A</v>
      </c>
      <c r="K86" s="524" t="e">
        <f>NA()</f>
        <v>#N/A</v>
      </c>
      <c r="L86" s="42"/>
      <c r="M86" s="42"/>
      <c r="N86" s="42"/>
      <c r="O86" s="42"/>
      <c r="P86" s="42"/>
      <c r="Q86" s="42"/>
      <c r="R86" s="42"/>
      <c r="S86" s="42"/>
      <c r="T86" s="390"/>
      <c r="W86" s="525">
        <f t="shared" si="1"/>
        <v>2013</v>
      </c>
      <c r="X86" s="733">
        <f t="shared" ca="1" si="2"/>
        <v>78.800000000000011</v>
      </c>
      <c r="Y86" s="733">
        <f t="shared" ca="1" si="4"/>
        <v>44.222222222222229</v>
      </c>
      <c r="Z86" s="733">
        <f t="shared" si="4"/>
        <v>49.675096750967512</v>
      </c>
      <c r="AA86" s="733">
        <f t="shared" si="4"/>
        <v>77.5</v>
      </c>
      <c r="AB86" s="733">
        <f t="shared" si="4"/>
        <v>114.26511161274141</v>
      </c>
    </row>
    <row r="87" spans="1:28" hidden="1" x14ac:dyDescent="0.3">
      <c r="A87" s="36"/>
      <c r="B87" s="389"/>
      <c r="C87" s="525">
        <f t="shared" si="0"/>
        <v>2014</v>
      </c>
      <c r="D87" s="524" t="e">
        <f>NA()</f>
        <v>#N/A</v>
      </c>
      <c r="E87" s="524" t="e">
        <f>NA()</f>
        <v>#N/A</v>
      </c>
      <c r="F87" s="524" t="e">
        <f>NA()</f>
        <v>#N/A</v>
      </c>
      <c r="G87" s="524" t="e">
        <f>NA()</f>
        <v>#N/A</v>
      </c>
      <c r="H87" s="524" t="e">
        <f>NA()</f>
        <v>#N/A</v>
      </c>
      <c r="I87" s="524" t="e">
        <f>NA()</f>
        <v>#N/A</v>
      </c>
      <c r="J87" s="524" t="e">
        <f>NA()</f>
        <v>#N/A</v>
      </c>
      <c r="K87" s="524" t="e">
        <f>NA()</f>
        <v>#N/A</v>
      </c>
      <c r="L87" s="42"/>
      <c r="M87" s="42"/>
      <c r="N87" s="42"/>
      <c r="O87" s="42"/>
      <c r="P87" s="42"/>
      <c r="Q87" s="42"/>
      <c r="R87" s="42"/>
      <c r="S87" s="42"/>
      <c r="T87" s="390"/>
      <c r="W87" s="525">
        <f t="shared" si="1"/>
        <v>2014</v>
      </c>
      <c r="X87" s="733">
        <f t="shared" ca="1" si="2"/>
        <v>80.900000000000006</v>
      </c>
      <c r="Y87" s="733">
        <f t="shared" ca="1" si="4"/>
        <v>42.55555555555555</v>
      </c>
      <c r="Z87" s="733">
        <f t="shared" si="4"/>
        <v>46.519665196651964</v>
      </c>
      <c r="AA87" s="733">
        <f t="shared" si="4"/>
        <v>71.833333333333329</v>
      </c>
      <c r="AB87" s="733">
        <f t="shared" si="4"/>
        <v>106.93585663824096</v>
      </c>
    </row>
    <row r="88" spans="1:28" hidden="1" x14ac:dyDescent="0.3">
      <c r="A88" s="36"/>
      <c r="B88" s="389"/>
      <c r="C88" s="525">
        <f>C89-1</f>
        <v>2015</v>
      </c>
      <c r="D88" s="524" t="e">
        <f>NA()</f>
        <v>#N/A</v>
      </c>
      <c r="E88" s="524" t="e">
        <f>NA()</f>
        <v>#N/A</v>
      </c>
      <c r="F88" s="524" t="e">
        <f>NA()</f>
        <v>#N/A</v>
      </c>
      <c r="G88" s="524" t="e">
        <f>NA()</f>
        <v>#N/A</v>
      </c>
      <c r="H88" s="524" t="e">
        <f>NA()</f>
        <v>#N/A</v>
      </c>
      <c r="I88" s="524" t="e">
        <f>NA()</f>
        <v>#N/A</v>
      </c>
      <c r="J88" s="524" t="e">
        <f>NA()</f>
        <v>#N/A</v>
      </c>
      <c r="K88" s="524" t="e">
        <f>NA()</f>
        <v>#N/A</v>
      </c>
      <c r="L88" s="42"/>
      <c r="M88" s="42"/>
      <c r="N88" s="42"/>
      <c r="O88" s="42"/>
      <c r="P88" s="42"/>
      <c r="Q88" s="42"/>
      <c r="R88" s="42"/>
      <c r="S88" s="42"/>
      <c r="T88" s="390"/>
      <c r="W88" s="525">
        <f t="shared" si="1"/>
        <v>2015</v>
      </c>
      <c r="X88" s="733">
        <f t="shared" ca="1" si="2"/>
        <v>85.75</v>
      </c>
      <c r="Y88" s="733">
        <f t="shared" ca="1" si="4"/>
        <v>41.388888888888886</v>
      </c>
      <c r="Z88" s="733">
        <f t="shared" si="4"/>
        <v>33.343608436084352</v>
      </c>
      <c r="AA88" s="733">
        <f t="shared" si="4"/>
        <v>59.26819444444444</v>
      </c>
      <c r="AB88" s="733">
        <f t="shared" si="4"/>
        <v>99.992441580971501</v>
      </c>
    </row>
    <row r="89" spans="1:28" x14ac:dyDescent="0.3">
      <c r="A89" s="36"/>
      <c r="B89" s="389"/>
      <c r="C89" s="530">
        <f>D135</f>
        <v>2016</v>
      </c>
      <c r="D89" s="531">
        <f ca="1">OFFSET('Paramètres et Résultats'!$AF$27,COLUMN(D70)-COLUMN($D$70),0)</f>
        <v>83.7</v>
      </c>
      <c r="E89" s="531">
        <f ca="1">OFFSET('Paramètres et Résultats'!$AF$27,COLUMN(E70)-COLUMN($D$70),0)</f>
        <v>40.888888888888886</v>
      </c>
      <c r="F89" s="531">
        <f ca="1">OFFSET('Paramètres et Résultats'!$AF$27,COLUMN(F70)-COLUMN($D$70),0)</f>
        <v>27.000270002700024</v>
      </c>
      <c r="G89" s="531">
        <f ca="1">OFFSET('Paramètres et Résultats'!$AF$27,COLUMN(G70)-COLUMN($D$70),0)</f>
        <v>47.300000000000004</v>
      </c>
      <c r="H89" s="531">
        <f ca="1">OFFSET('Paramètres et Résultats'!$AF$27,COLUMN(H70)-COLUMN($D$70),0)</f>
        <v>95.311626666875682</v>
      </c>
      <c r="I89" s="531">
        <f ca="1">OFFSET('Paramètres et Résultats'!$AF$27,COLUMN(I70)-COLUMN($D$70),0)</f>
        <v>17</v>
      </c>
      <c r="J89" s="531">
        <f ca="1">OFFSET('Paramètres et Résultats'!$AF$27,COLUMN(J70)-COLUMN($D$70),0)</f>
        <v>43.040935672514621</v>
      </c>
      <c r="K89" s="531">
        <f ca="1">OFFSET('Paramètres et Résultats'!$AF$27,COLUMN(K70)-COLUMN($D$70),0)</f>
        <v>0</v>
      </c>
      <c r="L89" s="42" t="s">
        <v>426</v>
      </c>
      <c r="M89" s="42"/>
      <c r="N89" s="42"/>
      <c r="O89" s="42"/>
      <c r="P89" s="42"/>
      <c r="Q89" s="42"/>
      <c r="R89" s="42"/>
      <c r="S89" s="42"/>
      <c r="T89" s="390"/>
      <c r="W89" s="525">
        <f>C89</f>
        <v>2016</v>
      </c>
      <c r="X89" s="733">
        <f t="shared" ca="1" si="2"/>
        <v>83.7</v>
      </c>
      <c r="Y89" s="733">
        <f t="shared" ca="1" si="4"/>
        <v>40.888888888888886</v>
      </c>
      <c r="Z89" s="733">
        <f t="shared" si="4"/>
        <v>27.000270002700024</v>
      </c>
      <c r="AA89" s="733">
        <f t="shared" si="4"/>
        <v>47.300000000000004</v>
      </c>
      <c r="AB89" s="733">
        <f t="shared" si="4"/>
        <v>95.311626666875682</v>
      </c>
    </row>
    <row r="90" spans="1:28" x14ac:dyDescent="0.3">
      <c r="A90" s="36"/>
      <c r="B90" s="389"/>
      <c r="C90" s="532">
        <f>C89+1</f>
        <v>2017</v>
      </c>
      <c r="D90" s="533">
        <f ca="1">D89*(1+5%)</f>
        <v>87.885000000000005</v>
      </c>
      <c r="E90" s="533">
        <f ca="1">E89*(1+5%)</f>
        <v>42.93333333333333</v>
      </c>
      <c r="F90" s="533">
        <f ca="1">F89*(1+5%)</f>
        <v>28.350283502835026</v>
      </c>
      <c r="G90" s="533">
        <f t="shared" ref="E90:K104" ca="1" si="5">G89*(1+5%)</f>
        <v>49.665000000000006</v>
      </c>
      <c r="H90" s="533">
        <f ca="1">H89*(1+5%)</f>
        <v>100.07720800021947</v>
      </c>
      <c r="I90" s="533">
        <f t="shared" ca="1" si="5"/>
        <v>17.850000000000001</v>
      </c>
      <c r="J90" s="533">
        <f t="shared" ca="1" si="5"/>
        <v>45.192982456140356</v>
      </c>
      <c r="K90" s="533">
        <f t="shared" ca="1" si="5"/>
        <v>0</v>
      </c>
      <c r="L90" s="42"/>
      <c r="M90" s="42"/>
      <c r="N90" s="42"/>
      <c r="O90" s="42"/>
      <c r="P90" s="42"/>
      <c r="Q90" s="42"/>
      <c r="R90" s="42"/>
      <c r="S90" s="42"/>
      <c r="T90" s="390"/>
    </row>
    <row r="91" spans="1:28" x14ac:dyDescent="0.3">
      <c r="A91" s="36"/>
      <c r="B91" s="389"/>
      <c r="C91" s="532">
        <f t="shared" ref="C91:C107" si="6">C90+1</f>
        <v>2018</v>
      </c>
      <c r="D91" s="533">
        <f t="shared" ref="D91:D108" ca="1" si="7">D90*(1+5%)</f>
        <v>92.279250000000005</v>
      </c>
      <c r="E91" s="533">
        <f t="shared" ca="1" si="5"/>
        <v>45.08</v>
      </c>
      <c r="F91" s="533">
        <f t="shared" ca="1" si="5"/>
        <v>29.76779767797678</v>
      </c>
      <c r="G91" s="533">
        <f ca="1">G90*(1+5%)</f>
        <v>52.148250000000012</v>
      </c>
      <c r="H91" s="533">
        <f t="shared" ca="1" si="5"/>
        <v>105.08106840023045</v>
      </c>
      <c r="I91" s="533">
        <f t="shared" ca="1" si="5"/>
        <v>18.742500000000003</v>
      </c>
      <c r="J91" s="533">
        <f t="shared" ca="1" si="5"/>
        <v>47.452631578947376</v>
      </c>
      <c r="K91" s="533">
        <f t="shared" ca="1" si="5"/>
        <v>0</v>
      </c>
      <c r="L91" s="42"/>
      <c r="M91" s="42"/>
      <c r="N91" s="42"/>
      <c r="O91" s="42"/>
      <c r="P91" s="42"/>
      <c r="Q91" s="42"/>
      <c r="R91" s="42"/>
      <c r="S91" s="42"/>
      <c r="T91" s="390"/>
    </row>
    <row r="92" spans="1:28" x14ac:dyDescent="0.3">
      <c r="A92" s="36"/>
      <c r="B92" s="389"/>
      <c r="C92" s="532">
        <f t="shared" si="6"/>
        <v>2019</v>
      </c>
      <c r="D92" s="533">
        <f t="shared" ca="1" si="7"/>
        <v>96.893212500000004</v>
      </c>
      <c r="E92" s="533">
        <f t="shared" ca="1" si="5"/>
        <v>47.334000000000003</v>
      </c>
      <c r="F92" s="533">
        <f t="shared" ca="1" si="5"/>
        <v>31.25618756187562</v>
      </c>
      <c r="G92" s="533">
        <f t="shared" ca="1" si="5"/>
        <v>54.755662500000014</v>
      </c>
      <c r="H92" s="533">
        <f t="shared" ca="1" si="5"/>
        <v>110.33512182024198</v>
      </c>
      <c r="I92" s="533">
        <f t="shared" ca="1" si="5"/>
        <v>19.679625000000005</v>
      </c>
      <c r="J92" s="533">
        <f t="shared" ca="1" si="5"/>
        <v>49.825263157894746</v>
      </c>
      <c r="K92" s="533">
        <f t="shared" ca="1" si="5"/>
        <v>0</v>
      </c>
      <c r="L92" s="42"/>
      <c r="M92" s="42"/>
      <c r="N92" s="42"/>
      <c r="O92" s="42"/>
      <c r="P92" s="42"/>
      <c r="Q92" s="42"/>
      <c r="R92" s="42"/>
      <c r="S92" s="42"/>
      <c r="T92" s="390"/>
    </row>
    <row r="93" spans="1:28" x14ac:dyDescent="0.3">
      <c r="A93" s="36"/>
      <c r="B93" s="389"/>
      <c r="C93" s="532">
        <f t="shared" si="6"/>
        <v>2020</v>
      </c>
      <c r="D93" s="533">
        <f t="shared" ca="1" si="7"/>
        <v>101.73787312500001</v>
      </c>
      <c r="E93" s="533">
        <f t="shared" ca="1" si="5"/>
        <v>49.700700000000005</v>
      </c>
      <c r="F93" s="533">
        <f t="shared" ca="1" si="5"/>
        <v>32.818996939969402</v>
      </c>
      <c r="G93" s="533">
        <f t="shared" ca="1" si="5"/>
        <v>57.493445625000014</v>
      </c>
      <c r="H93" s="533">
        <f t="shared" ca="1" si="5"/>
        <v>115.85187791125408</v>
      </c>
      <c r="I93" s="533">
        <f t="shared" ca="1" si="5"/>
        <v>20.663606250000004</v>
      </c>
      <c r="J93" s="533">
        <f t="shared" ca="1" si="5"/>
        <v>52.316526315789488</v>
      </c>
      <c r="K93" s="533">
        <f t="shared" ca="1" si="5"/>
        <v>0</v>
      </c>
      <c r="L93" s="42"/>
      <c r="M93" s="42"/>
      <c r="N93" s="42"/>
      <c r="O93" s="42"/>
      <c r="P93" s="42"/>
      <c r="Q93" s="42"/>
      <c r="R93" s="42"/>
      <c r="S93" s="42"/>
      <c r="T93" s="390"/>
    </row>
    <row r="94" spans="1:28" x14ac:dyDescent="0.3">
      <c r="A94" s="36"/>
      <c r="B94" s="389"/>
      <c r="C94" s="532">
        <f t="shared" si="6"/>
        <v>2021</v>
      </c>
      <c r="D94" s="533">
        <f t="shared" ca="1" si="7"/>
        <v>106.82476678125001</v>
      </c>
      <c r="E94" s="533">
        <f t="shared" ca="1" si="5"/>
        <v>52.185735000000008</v>
      </c>
      <c r="F94" s="533">
        <f t="shared" ca="1" si="5"/>
        <v>34.459946786967876</v>
      </c>
      <c r="G94" s="533">
        <f t="shared" ca="1" si="5"/>
        <v>60.368117906250021</v>
      </c>
      <c r="H94" s="533">
        <f t="shared" ca="1" si="5"/>
        <v>121.64447180681678</v>
      </c>
      <c r="I94" s="533">
        <f t="shared" ca="1" si="5"/>
        <v>21.696786562500005</v>
      </c>
      <c r="J94" s="533">
        <f t="shared" ca="1" si="5"/>
        <v>54.932352631578965</v>
      </c>
      <c r="K94" s="533">
        <f t="shared" ca="1" si="5"/>
        <v>0</v>
      </c>
      <c r="L94" s="42"/>
      <c r="M94" s="42"/>
      <c r="N94" s="42"/>
      <c r="O94" s="42"/>
      <c r="P94" s="42"/>
      <c r="Q94" s="42"/>
      <c r="R94" s="42"/>
      <c r="S94" s="42"/>
      <c r="T94" s="390"/>
    </row>
    <row r="95" spans="1:28" x14ac:dyDescent="0.3">
      <c r="A95" s="36"/>
      <c r="B95" s="389"/>
      <c r="C95" s="532">
        <f t="shared" si="6"/>
        <v>2022</v>
      </c>
      <c r="D95" s="533">
        <f t="shared" ca="1" si="7"/>
        <v>112.16600512031251</v>
      </c>
      <c r="E95" s="533">
        <f t="shared" ca="1" si="5"/>
        <v>54.795021750000011</v>
      </c>
      <c r="F95" s="533">
        <f t="shared" ca="1" si="5"/>
        <v>36.182944126316272</v>
      </c>
      <c r="G95" s="533">
        <f t="shared" ca="1" si="5"/>
        <v>63.386523801562525</v>
      </c>
      <c r="H95" s="533">
        <f t="shared" ca="1" si="5"/>
        <v>127.72669539715763</v>
      </c>
      <c r="I95" s="533">
        <f t="shared" ca="1" si="5"/>
        <v>22.781625890625005</v>
      </c>
      <c r="J95" s="533">
        <f t="shared" ca="1" si="5"/>
        <v>57.678970263157915</v>
      </c>
      <c r="K95" s="533">
        <f t="shared" ca="1" si="5"/>
        <v>0</v>
      </c>
      <c r="L95" s="42"/>
      <c r="M95" s="42"/>
      <c r="N95" s="42"/>
      <c r="O95" s="42"/>
      <c r="P95" s="42"/>
      <c r="Q95" s="42"/>
      <c r="R95" s="42"/>
      <c r="S95" s="42"/>
      <c r="T95" s="390"/>
    </row>
    <row r="96" spans="1:28" x14ac:dyDescent="0.3">
      <c r="A96" s="36"/>
      <c r="B96" s="389"/>
      <c r="C96" s="532">
        <f t="shared" si="6"/>
        <v>2023</v>
      </c>
      <c r="D96" s="533">
        <f t="shared" ca="1" si="7"/>
        <v>117.77430537632813</v>
      </c>
      <c r="E96" s="533">
        <f t="shared" ca="1" si="5"/>
        <v>57.534772837500014</v>
      </c>
      <c r="F96" s="533">
        <f t="shared" ca="1" si="5"/>
        <v>37.992091332632086</v>
      </c>
      <c r="G96" s="533">
        <f t="shared" ca="1" si="5"/>
        <v>66.555849991640656</v>
      </c>
      <c r="H96" s="533">
        <f t="shared" ca="1" si="5"/>
        <v>134.11303016701552</v>
      </c>
      <c r="I96" s="533">
        <f t="shared" ca="1" si="5"/>
        <v>23.920707185156257</v>
      </c>
      <c r="J96" s="533">
        <f t="shared" ca="1" si="5"/>
        <v>60.562918776315811</v>
      </c>
      <c r="K96" s="533">
        <f t="shared" ca="1" si="5"/>
        <v>0</v>
      </c>
      <c r="L96" s="42"/>
      <c r="M96" s="42"/>
      <c r="N96" s="42"/>
      <c r="O96" s="42"/>
      <c r="P96" s="42"/>
      <c r="Q96" s="42"/>
      <c r="R96" s="42"/>
      <c r="S96" s="42"/>
      <c r="T96" s="390"/>
    </row>
    <row r="97" spans="1:20" x14ac:dyDescent="0.3">
      <c r="A97" s="36"/>
      <c r="B97" s="389"/>
      <c r="C97" s="532">
        <f t="shared" si="6"/>
        <v>2024</v>
      </c>
      <c r="D97" s="533">
        <f t="shared" ca="1" si="7"/>
        <v>123.66302064514454</v>
      </c>
      <c r="E97" s="533">
        <f t="shared" ca="1" si="5"/>
        <v>60.411511479375015</v>
      </c>
      <c r="F97" s="533">
        <f t="shared" ca="1" si="5"/>
        <v>39.891695899263695</v>
      </c>
      <c r="G97" s="533">
        <f t="shared" ca="1" si="5"/>
        <v>69.883642491222687</v>
      </c>
      <c r="H97" s="533">
        <f t="shared" ca="1" si="5"/>
        <v>140.81868167536629</v>
      </c>
      <c r="I97" s="533">
        <f t="shared" ca="1" si="5"/>
        <v>25.11674254441407</v>
      </c>
      <c r="J97" s="533">
        <f t="shared" ca="1" si="5"/>
        <v>63.591064715131601</v>
      </c>
      <c r="K97" s="533">
        <f t="shared" ca="1" si="5"/>
        <v>0</v>
      </c>
      <c r="L97" s="42"/>
      <c r="M97" s="42"/>
      <c r="N97" s="42"/>
      <c r="O97" s="42"/>
      <c r="P97" s="42"/>
      <c r="Q97" s="42"/>
      <c r="R97" s="42"/>
      <c r="S97" s="42"/>
      <c r="T97" s="390"/>
    </row>
    <row r="98" spans="1:20" x14ac:dyDescent="0.3">
      <c r="A98" s="36"/>
      <c r="B98" s="389"/>
      <c r="C98" s="532">
        <f t="shared" si="6"/>
        <v>2025</v>
      </c>
      <c r="D98" s="533">
        <f t="shared" ca="1" si="7"/>
        <v>129.84617167740177</v>
      </c>
      <c r="E98" s="533">
        <f t="shared" ca="1" si="5"/>
        <v>63.432087053343771</v>
      </c>
      <c r="F98" s="533">
        <f t="shared" ca="1" si="5"/>
        <v>41.886280694226883</v>
      </c>
      <c r="G98" s="533">
        <f t="shared" ca="1" si="5"/>
        <v>73.377824615783823</v>
      </c>
      <c r="H98" s="533">
        <f t="shared" ca="1" si="5"/>
        <v>147.85961575913461</v>
      </c>
      <c r="I98" s="533">
        <f t="shared" ca="1" si="5"/>
        <v>26.372579671634774</v>
      </c>
      <c r="J98" s="533">
        <f t="shared" ca="1" si="5"/>
        <v>66.77061795088818</v>
      </c>
      <c r="K98" s="533">
        <f t="shared" ca="1" si="5"/>
        <v>0</v>
      </c>
      <c r="L98" s="42"/>
      <c r="M98" s="42"/>
      <c r="N98" s="42"/>
      <c r="O98" s="42"/>
      <c r="P98" s="42"/>
      <c r="Q98" s="42"/>
      <c r="R98" s="42"/>
      <c r="S98" s="42"/>
      <c r="T98" s="390"/>
    </row>
    <row r="99" spans="1:20" x14ac:dyDescent="0.3">
      <c r="A99" s="36"/>
      <c r="B99" s="389"/>
      <c r="C99" s="532">
        <f t="shared" si="6"/>
        <v>2026</v>
      </c>
      <c r="D99" s="533">
        <f t="shared" ca="1" si="7"/>
        <v>136.33848026127185</v>
      </c>
      <c r="E99" s="533">
        <f t="shared" ca="1" si="5"/>
        <v>66.603691406010967</v>
      </c>
      <c r="F99" s="533">
        <f t="shared" ca="1" si="5"/>
        <v>43.980594728938229</v>
      </c>
      <c r="G99" s="533">
        <f t="shared" ca="1" si="5"/>
        <v>77.046715846573022</v>
      </c>
      <c r="H99" s="533">
        <f t="shared" ca="1" si="5"/>
        <v>155.25259654709134</v>
      </c>
      <c r="I99" s="533">
        <f t="shared" ca="1" si="5"/>
        <v>27.691208655216514</v>
      </c>
      <c r="J99" s="533">
        <f t="shared" ca="1" si="5"/>
        <v>70.109148848432596</v>
      </c>
      <c r="K99" s="533">
        <f t="shared" ca="1" si="5"/>
        <v>0</v>
      </c>
      <c r="L99" s="42"/>
      <c r="M99" s="42"/>
      <c r="N99" s="42"/>
      <c r="O99" s="42"/>
      <c r="P99" s="42"/>
      <c r="Q99" s="42"/>
      <c r="R99" s="42"/>
      <c r="S99" s="42"/>
      <c r="T99" s="390"/>
    </row>
    <row r="100" spans="1:20" x14ac:dyDescent="0.3">
      <c r="A100" s="36"/>
      <c r="B100" s="389"/>
      <c r="C100" s="532">
        <f t="shared" si="6"/>
        <v>2027</v>
      </c>
      <c r="D100" s="533">
        <f t="shared" ca="1" si="7"/>
        <v>143.15540427433547</v>
      </c>
      <c r="E100" s="533">
        <f t="shared" ca="1" si="5"/>
        <v>69.933875976311512</v>
      </c>
      <c r="F100" s="533">
        <f t="shared" ca="1" si="5"/>
        <v>46.179624465385139</v>
      </c>
      <c r="G100" s="533">
        <f t="shared" ca="1" si="5"/>
        <v>80.899051638901682</v>
      </c>
      <c r="H100" s="533">
        <f t="shared" ca="1" si="5"/>
        <v>163.01522637444592</v>
      </c>
      <c r="I100" s="533">
        <f t="shared" ca="1" si="5"/>
        <v>29.075769087977342</v>
      </c>
      <c r="J100" s="533">
        <f t="shared" ca="1" si="5"/>
        <v>73.614606290854226</v>
      </c>
      <c r="K100" s="533">
        <f t="shared" ca="1" si="5"/>
        <v>0</v>
      </c>
      <c r="L100" s="42"/>
      <c r="M100" s="42"/>
      <c r="N100" s="42"/>
      <c r="O100" s="42"/>
      <c r="P100" s="42"/>
      <c r="Q100" s="42"/>
      <c r="R100" s="42"/>
      <c r="S100" s="42"/>
      <c r="T100" s="390"/>
    </row>
    <row r="101" spans="1:20" x14ac:dyDescent="0.3">
      <c r="A101" s="36"/>
      <c r="B101" s="389"/>
      <c r="C101" s="532">
        <f t="shared" si="6"/>
        <v>2028</v>
      </c>
      <c r="D101" s="533">
        <f t="shared" ca="1" si="7"/>
        <v>150.31317448805225</v>
      </c>
      <c r="E101" s="533">
        <f t="shared" ca="1" si="5"/>
        <v>73.430569775127097</v>
      </c>
      <c r="F101" s="533">
        <f t="shared" ca="1" si="5"/>
        <v>48.488605688654395</v>
      </c>
      <c r="G101" s="533">
        <f t="shared" ca="1" si="5"/>
        <v>84.944004220846764</v>
      </c>
      <c r="H101" s="533">
        <f t="shared" ca="1" si="5"/>
        <v>171.16598769316823</v>
      </c>
      <c r="I101" s="533">
        <f t="shared" ca="1" si="5"/>
        <v>30.52955754237621</v>
      </c>
      <c r="J101" s="533">
        <f t="shared" ca="1" si="5"/>
        <v>77.29533660539694</v>
      </c>
      <c r="K101" s="533">
        <f t="shared" ca="1" si="5"/>
        <v>0</v>
      </c>
      <c r="L101" s="42"/>
      <c r="M101" s="42"/>
      <c r="N101" s="42"/>
      <c r="O101" s="42"/>
      <c r="P101" s="42"/>
      <c r="Q101" s="42"/>
      <c r="R101" s="42"/>
      <c r="S101" s="42"/>
      <c r="T101" s="390"/>
    </row>
    <row r="102" spans="1:20" x14ac:dyDescent="0.3">
      <c r="A102" s="36"/>
      <c r="B102" s="389"/>
      <c r="C102" s="532">
        <f t="shared" si="6"/>
        <v>2029</v>
      </c>
      <c r="D102" s="533">
        <f t="shared" ca="1" si="7"/>
        <v>157.82883321245487</v>
      </c>
      <c r="E102" s="533">
        <f t="shared" ca="1" si="5"/>
        <v>77.102098263883448</v>
      </c>
      <c r="F102" s="533">
        <f t="shared" ca="1" si="5"/>
        <v>50.913035973087119</v>
      </c>
      <c r="G102" s="533">
        <f t="shared" ca="1" si="5"/>
        <v>89.191204431889105</v>
      </c>
      <c r="H102" s="533">
        <f t="shared" ca="1" si="5"/>
        <v>179.72428707782666</v>
      </c>
      <c r="I102" s="533">
        <f t="shared" ca="1" si="5"/>
        <v>32.056035419495025</v>
      </c>
      <c r="J102" s="533">
        <f t="shared" ca="1" si="5"/>
        <v>81.160103435666784</v>
      </c>
      <c r="K102" s="533">
        <f t="shared" ca="1" si="5"/>
        <v>0</v>
      </c>
      <c r="L102" s="42"/>
      <c r="M102" s="42"/>
      <c r="N102" s="42"/>
      <c r="O102" s="42"/>
      <c r="P102" s="42"/>
      <c r="Q102" s="42"/>
      <c r="R102" s="42"/>
      <c r="S102" s="42"/>
      <c r="T102" s="390"/>
    </row>
    <row r="103" spans="1:20" x14ac:dyDescent="0.3">
      <c r="A103" s="36"/>
      <c r="B103" s="389"/>
      <c r="C103" s="532">
        <f t="shared" si="6"/>
        <v>2030</v>
      </c>
      <c r="D103" s="533">
        <f t="shared" ca="1" si="7"/>
        <v>165.72027487307761</v>
      </c>
      <c r="E103" s="533">
        <f t="shared" ca="1" si="5"/>
        <v>80.957203177077631</v>
      </c>
      <c r="F103" s="533">
        <f t="shared" ca="1" si="5"/>
        <v>53.458687771741481</v>
      </c>
      <c r="G103" s="533">
        <f t="shared" ca="1" si="5"/>
        <v>93.650764653483563</v>
      </c>
      <c r="H103" s="533">
        <f t="shared" ca="1" si="5"/>
        <v>188.710501431718</v>
      </c>
      <c r="I103" s="533">
        <f t="shared" ca="1" si="5"/>
        <v>33.658837190469775</v>
      </c>
      <c r="J103" s="533">
        <f t="shared" ca="1" si="5"/>
        <v>85.218108607450134</v>
      </c>
      <c r="K103" s="533">
        <f t="shared" ca="1" si="5"/>
        <v>0</v>
      </c>
      <c r="L103" s="42"/>
      <c r="M103" s="42"/>
      <c r="N103" s="42"/>
      <c r="O103" s="42"/>
      <c r="P103" s="42"/>
      <c r="Q103" s="42"/>
      <c r="R103" s="42"/>
      <c r="S103" s="42"/>
      <c r="T103" s="390"/>
    </row>
    <row r="104" spans="1:20" x14ac:dyDescent="0.3">
      <c r="A104" s="36"/>
      <c r="B104" s="389"/>
      <c r="C104" s="532">
        <f t="shared" si="6"/>
        <v>2031</v>
      </c>
      <c r="D104" s="533">
        <f t="shared" ca="1" si="7"/>
        <v>174.0062886167315</v>
      </c>
      <c r="E104" s="533">
        <f t="shared" ca="1" si="5"/>
        <v>85.00506333593151</v>
      </c>
      <c r="F104" s="533">
        <f t="shared" ca="1" si="5"/>
        <v>56.131622160328554</v>
      </c>
      <c r="G104" s="533">
        <f t="shared" ca="1" si="5"/>
        <v>98.333302886157739</v>
      </c>
      <c r="H104" s="533">
        <f t="shared" ca="1" si="5"/>
        <v>198.14602650330391</v>
      </c>
      <c r="I104" s="533">
        <f t="shared" ca="1" si="5"/>
        <v>35.341779049993264</v>
      </c>
      <c r="J104" s="533">
        <f t="shared" ca="1" si="5"/>
        <v>89.479014037822651</v>
      </c>
      <c r="K104" s="533">
        <f t="shared" ca="1" si="5"/>
        <v>0</v>
      </c>
      <c r="L104" s="42"/>
      <c r="M104" s="42"/>
      <c r="N104" s="42"/>
      <c r="O104" s="42"/>
      <c r="P104" s="42"/>
      <c r="Q104" s="42"/>
      <c r="R104" s="42"/>
      <c r="S104" s="42"/>
      <c r="T104" s="390"/>
    </row>
    <row r="105" spans="1:20" x14ac:dyDescent="0.3">
      <c r="A105" s="36"/>
      <c r="B105" s="389"/>
      <c r="C105" s="532">
        <f t="shared" si="6"/>
        <v>2032</v>
      </c>
      <c r="D105" s="533">
        <f t="shared" ca="1" si="7"/>
        <v>182.70660304756808</v>
      </c>
      <c r="E105" s="533">
        <f t="shared" ref="E105:E108" ca="1" si="8">E104*(1+5%)</f>
        <v>89.255316502728093</v>
      </c>
      <c r="F105" s="533">
        <f t="shared" ref="F105:F108" ca="1" si="9">F104*(1+5%)</f>
        <v>58.938203268344985</v>
      </c>
      <c r="G105" s="533">
        <f t="shared" ref="G105:G108" ca="1" si="10">G104*(1+5%)</f>
        <v>103.24996803046562</v>
      </c>
      <c r="H105" s="533">
        <f t="shared" ref="H105:H108" ca="1" si="11">H104*(1+5%)</f>
        <v>208.05332782846912</v>
      </c>
      <c r="I105" s="533">
        <f t="shared" ref="I105:I108" ca="1" si="12">I104*(1+5%)</f>
        <v>37.108868002492926</v>
      </c>
      <c r="J105" s="533">
        <f t="shared" ref="J105:J108" ca="1" si="13">J104*(1+5%)</f>
        <v>93.952964739713792</v>
      </c>
      <c r="K105" s="533">
        <f t="shared" ref="K105:K108" ca="1" si="14">K104*(1+5%)</f>
        <v>0</v>
      </c>
      <c r="L105" s="42"/>
      <c r="M105" s="42"/>
      <c r="N105" s="42"/>
      <c r="O105" s="42"/>
      <c r="P105" s="42"/>
      <c r="Q105" s="42"/>
      <c r="R105" s="42"/>
      <c r="S105" s="42"/>
      <c r="T105" s="390"/>
    </row>
    <row r="106" spans="1:20" x14ac:dyDescent="0.3">
      <c r="A106" s="36"/>
      <c r="B106" s="389"/>
      <c r="C106" s="532">
        <f t="shared" si="6"/>
        <v>2033</v>
      </c>
      <c r="D106" s="533">
        <f t="shared" ca="1" si="7"/>
        <v>191.84193319994648</v>
      </c>
      <c r="E106" s="533">
        <f t="shared" ca="1" si="8"/>
        <v>93.718082327864508</v>
      </c>
      <c r="F106" s="533">
        <f t="shared" ca="1" si="9"/>
        <v>61.885113431762235</v>
      </c>
      <c r="G106" s="533">
        <f t="shared" ca="1" si="10"/>
        <v>108.4124664319889</v>
      </c>
      <c r="H106" s="533">
        <f t="shared" ca="1" si="11"/>
        <v>218.45599421989257</v>
      </c>
      <c r="I106" s="533">
        <f t="shared" ca="1" si="12"/>
        <v>38.964311402617575</v>
      </c>
      <c r="J106" s="533">
        <f t="shared" ca="1" si="13"/>
        <v>98.650612976699492</v>
      </c>
      <c r="K106" s="533">
        <f t="shared" ca="1" si="14"/>
        <v>0</v>
      </c>
      <c r="L106" s="42"/>
      <c r="M106" s="42"/>
      <c r="N106" s="42"/>
      <c r="O106" s="42"/>
      <c r="P106" s="42"/>
      <c r="Q106" s="42"/>
      <c r="R106" s="42"/>
      <c r="S106" s="42"/>
      <c r="T106" s="390"/>
    </row>
    <row r="107" spans="1:20" x14ac:dyDescent="0.3">
      <c r="A107" s="36"/>
      <c r="B107" s="389"/>
      <c r="C107" s="532">
        <f t="shared" si="6"/>
        <v>2034</v>
      </c>
      <c r="D107" s="533">
        <f t="shared" ca="1" si="7"/>
        <v>201.43402985994382</v>
      </c>
      <c r="E107" s="533">
        <f t="shared" ca="1" si="8"/>
        <v>98.40398644425774</v>
      </c>
      <c r="F107" s="533">
        <f t="shared" ca="1" si="9"/>
        <v>64.979369103350351</v>
      </c>
      <c r="G107" s="533">
        <f t="shared" ca="1" si="10"/>
        <v>113.83308975358835</v>
      </c>
      <c r="H107" s="533">
        <f t="shared" ca="1" si="11"/>
        <v>229.37879393088721</v>
      </c>
      <c r="I107" s="533">
        <f t="shared" ca="1" si="12"/>
        <v>40.912526972748452</v>
      </c>
      <c r="J107" s="533">
        <f t="shared" ca="1" si="13"/>
        <v>103.58314362553448</v>
      </c>
      <c r="K107" s="533">
        <f t="shared" ca="1" si="14"/>
        <v>0</v>
      </c>
      <c r="L107" s="42"/>
      <c r="M107" s="42"/>
      <c r="N107" s="42"/>
      <c r="O107" s="42"/>
      <c r="P107" s="42"/>
      <c r="Q107" s="42"/>
      <c r="R107" s="42"/>
      <c r="S107" s="42"/>
      <c r="T107" s="390"/>
    </row>
    <row r="108" spans="1:20" x14ac:dyDescent="0.3">
      <c r="A108" s="36"/>
      <c r="B108" s="389"/>
      <c r="C108" s="532">
        <f t="shared" ref="C108" si="15">C107+1</f>
        <v>2035</v>
      </c>
      <c r="D108" s="533">
        <f t="shared" ca="1" si="7"/>
        <v>211.50573135294101</v>
      </c>
      <c r="E108" s="533">
        <f t="shared" ca="1" si="8"/>
        <v>103.32418576647063</v>
      </c>
      <c r="F108" s="533">
        <f t="shared" ca="1" si="9"/>
        <v>68.228337558517865</v>
      </c>
      <c r="G108" s="533">
        <f t="shared" ca="1" si="10"/>
        <v>119.52474424126778</v>
      </c>
      <c r="H108" s="533">
        <f t="shared" ca="1" si="11"/>
        <v>240.84773362743158</v>
      </c>
      <c r="I108" s="533">
        <f t="shared" ca="1" si="12"/>
        <v>42.958153321385879</v>
      </c>
      <c r="J108" s="533">
        <f t="shared" ca="1" si="13"/>
        <v>108.7623008068112</v>
      </c>
      <c r="K108" s="533">
        <f t="shared" ca="1" si="14"/>
        <v>0</v>
      </c>
      <c r="L108" s="42"/>
      <c r="M108" s="42"/>
      <c r="N108" s="42"/>
      <c r="O108" s="42"/>
      <c r="P108" s="42"/>
      <c r="Q108" s="42"/>
      <c r="R108" s="42"/>
      <c r="S108" s="42"/>
      <c r="T108" s="390"/>
    </row>
    <row r="109" spans="1:20" x14ac:dyDescent="0.3">
      <c r="A109" s="36"/>
      <c r="B109" s="389"/>
      <c r="C109" s="42"/>
      <c r="D109" s="42"/>
      <c r="E109" s="42"/>
      <c r="F109" s="42"/>
      <c r="G109" s="42"/>
      <c r="H109" s="42"/>
      <c r="I109" s="42"/>
      <c r="J109" s="42"/>
      <c r="K109" s="42"/>
      <c r="L109" s="42"/>
      <c r="M109" s="42"/>
      <c r="N109" s="42"/>
      <c r="O109" s="42"/>
      <c r="P109" s="42"/>
      <c r="Q109" s="42"/>
      <c r="R109" s="42"/>
      <c r="S109" s="42"/>
      <c r="T109" s="390"/>
    </row>
    <row r="110" spans="1:20" x14ac:dyDescent="0.3">
      <c r="A110" s="36"/>
      <c r="B110" s="389"/>
      <c r="C110" s="42"/>
      <c r="D110" s="42"/>
      <c r="E110" s="42"/>
      <c r="F110" s="42"/>
      <c r="G110" s="42"/>
      <c r="H110" s="42"/>
      <c r="I110" s="42"/>
      <c r="J110" s="42"/>
      <c r="K110" s="42"/>
      <c r="L110" s="42"/>
      <c r="M110" s="42"/>
      <c r="N110" s="42"/>
      <c r="O110" s="42"/>
      <c r="P110" s="42"/>
      <c r="Q110" s="42"/>
      <c r="R110" s="42"/>
      <c r="S110" s="42"/>
      <c r="T110" s="390"/>
    </row>
    <row r="111" spans="1:20" x14ac:dyDescent="0.3">
      <c r="A111" s="36"/>
      <c r="B111" s="389"/>
      <c r="C111" s="42"/>
      <c r="D111" s="42"/>
      <c r="E111" s="42"/>
      <c r="F111" s="42"/>
      <c r="G111" s="42"/>
      <c r="H111" s="42"/>
      <c r="I111" s="42"/>
      <c r="J111" s="42"/>
      <c r="K111" s="42"/>
      <c r="L111" s="42"/>
      <c r="M111" s="42"/>
      <c r="N111" s="42"/>
      <c r="O111" s="42"/>
      <c r="P111" s="42"/>
      <c r="Q111" s="42"/>
      <c r="R111" s="42"/>
      <c r="S111" s="42"/>
      <c r="T111" s="390"/>
    </row>
    <row r="112" spans="1:20" x14ac:dyDescent="0.3">
      <c r="A112" s="36"/>
      <c r="B112" s="389"/>
      <c r="C112" s="42"/>
      <c r="D112" s="42"/>
      <c r="E112" s="42"/>
      <c r="F112" s="42"/>
      <c r="G112" s="42"/>
      <c r="H112" s="42"/>
      <c r="I112" s="42"/>
      <c r="J112" s="42"/>
      <c r="K112" s="42"/>
      <c r="L112" s="42"/>
      <c r="M112" s="42"/>
      <c r="N112" s="42"/>
      <c r="O112" s="42"/>
      <c r="P112" s="42"/>
      <c r="Q112" s="42"/>
      <c r="R112" s="42"/>
      <c r="S112" s="42"/>
      <c r="T112" s="390"/>
    </row>
    <row r="113" spans="1:20" x14ac:dyDescent="0.3">
      <c r="A113" s="36"/>
      <c r="B113" s="389"/>
      <c r="C113" s="42"/>
      <c r="D113" s="42"/>
      <c r="E113" s="42"/>
      <c r="F113" s="42"/>
      <c r="G113" s="42"/>
      <c r="H113" s="42"/>
      <c r="I113" s="42"/>
      <c r="J113" s="42"/>
      <c r="K113" s="42"/>
      <c r="L113" s="42"/>
      <c r="M113" s="42"/>
      <c r="N113" s="42"/>
      <c r="O113" s="42"/>
      <c r="P113" s="42"/>
      <c r="Q113" s="42"/>
      <c r="R113" s="42"/>
      <c r="S113" s="42"/>
      <c r="T113" s="390"/>
    </row>
    <row r="114" spans="1:20" x14ac:dyDescent="0.3">
      <c r="A114" s="36"/>
      <c r="B114" s="389"/>
      <c r="C114" s="42"/>
      <c r="D114" s="42"/>
      <c r="E114" s="42"/>
      <c r="F114" s="42"/>
      <c r="G114" s="42"/>
      <c r="H114" s="42"/>
      <c r="I114" s="42"/>
      <c r="J114" s="42"/>
      <c r="K114" s="42"/>
      <c r="L114" s="42"/>
      <c r="M114" s="42"/>
      <c r="N114" s="42"/>
      <c r="O114" s="42"/>
      <c r="P114" s="42"/>
      <c r="Q114" s="42"/>
      <c r="R114" s="42"/>
      <c r="S114" s="42"/>
      <c r="T114" s="390"/>
    </row>
    <row r="115" spans="1:20" x14ac:dyDescent="0.3">
      <c r="A115" s="36"/>
      <c r="B115" s="389"/>
      <c r="C115" s="42"/>
      <c r="D115" s="42"/>
      <c r="E115" s="42"/>
      <c r="F115" s="42"/>
      <c r="G115" s="42"/>
      <c r="H115" s="42"/>
      <c r="I115" s="42"/>
      <c r="J115" s="42"/>
      <c r="K115" s="42"/>
      <c r="L115" s="42"/>
      <c r="M115" s="42"/>
      <c r="N115" s="42"/>
      <c r="O115" s="42"/>
      <c r="P115" s="42"/>
      <c r="Q115" s="42"/>
      <c r="R115" s="42"/>
      <c r="S115" s="42"/>
      <c r="T115" s="390"/>
    </row>
    <row r="116" spans="1:20" x14ac:dyDescent="0.3">
      <c r="A116" s="36"/>
      <c r="B116" s="389"/>
      <c r="C116" s="42"/>
      <c r="D116" s="42"/>
      <c r="E116" s="42"/>
      <c r="F116" s="42"/>
      <c r="G116" s="42"/>
      <c r="H116" s="42"/>
      <c r="I116" s="42"/>
      <c r="J116" s="42"/>
      <c r="K116" s="42"/>
      <c r="L116" s="42"/>
      <c r="M116" s="42"/>
      <c r="N116" s="42"/>
      <c r="O116" s="42"/>
      <c r="P116" s="42"/>
      <c r="Q116" s="42"/>
      <c r="R116" s="42"/>
      <c r="S116" s="42"/>
      <c r="T116" s="390"/>
    </row>
    <row r="117" spans="1:20" x14ac:dyDescent="0.3">
      <c r="A117" s="36"/>
      <c r="B117" s="389"/>
      <c r="C117" s="42"/>
      <c r="D117" s="42"/>
      <c r="E117" s="42"/>
      <c r="F117" s="42"/>
      <c r="G117" s="42"/>
      <c r="H117" s="42"/>
      <c r="I117" s="42"/>
      <c r="J117" s="42"/>
      <c r="K117" s="42"/>
      <c r="L117" s="42"/>
      <c r="M117" s="42"/>
      <c r="N117" s="42"/>
      <c r="O117" s="42"/>
      <c r="P117" s="42"/>
      <c r="Q117" s="42"/>
      <c r="R117" s="42"/>
      <c r="S117" s="42"/>
      <c r="T117" s="390"/>
    </row>
    <row r="118" spans="1:20" x14ac:dyDescent="0.3">
      <c r="A118" s="36"/>
      <c r="B118" s="389"/>
      <c r="C118" s="42"/>
      <c r="D118" s="42"/>
      <c r="E118" s="42"/>
      <c r="F118" s="42"/>
      <c r="G118" s="42"/>
      <c r="H118" s="42"/>
      <c r="I118" s="42"/>
      <c r="J118" s="42"/>
      <c r="K118" s="42"/>
      <c r="L118" s="42"/>
      <c r="M118" s="42"/>
      <c r="N118" s="42"/>
      <c r="O118" s="42"/>
      <c r="P118" s="42"/>
      <c r="Q118" s="42"/>
      <c r="R118" s="42"/>
      <c r="S118" s="42"/>
      <c r="T118" s="390"/>
    </row>
    <row r="119" spans="1:20" x14ac:dyDescent="0.3">
      <c r="A119" s="36"/>
      <c r="B119" s="389"/>
      <c r="C119" s="42"/>
      <c r="D119" s="42"/>
      <c r="E119" s="42"/>
      <c r="F119" s="42"/>
      <c r="G119" s="42"/>
      <c r="H119" s="42"/>
      <c r="I119" s="42"/>
      <c r="J119" s="42"/>
      <c r="K119" s="42"/>
      <c r="L119" s="42"/>
      <c r="M119" s="42"/>
      <c r="N119" s="42"/>
      <c r="O119" s="42"/>
      <c r="P119" s="42"/>
      <c r="Q119" s="42"/>
      <c r="R119" s="42"/>
      <c r="S119" s="42"/>
      <c r="T119" s="390"/>
    </row>
    <row r="120" spans="1:20" x14ac:dyDescent="0.3">
      <c r="A120" s="36"/>
      <c r="B120" s="389"/>
      <c r="C120" s="42"/>
      <c r="D120" s="42"/>
      <c r="E120" s="42"/>
      <c r="F120" s="42"/>
      <c r="G120" s="42"/>
      <c r="H120" s="42"/>
      <c r="I120" s="42"/>
      <c r="J120" s="42"/>
      <c r="K120" s="42"/>
      <c r="L120" s="42"/>
      <c r="M120" s="42"/>
      <c r="N120" s="42"/>
      <c r="O120" s="42"/>
      <c r="P120" s="42"/>
      <c r="Q120" s="42"/>
      <c r="R120" s="42"/>
      <c r="S120" s="42"/>
      <c r="T120" s="390"/>
    </row>
    <row r="121" spans="1:20" x14ac:dyDescent="0.3">
      <c r="A121" s="36"/>
      <c r="B121" s="389"/>
      <c r="C121" s="42"/>
      <c r="D121" s="42"/>
      <c r="E121" s="42"/>
      <c r="F121" s="42"/>
      <c r="G121" s="42"/>
      <c r="H121" s="42"/>
      <c r="I121" s="42"/>
      <c r="J121" s="42"/>
      <c r="K121" s="42"/>
      <c r="L121" s="42"/>
      <c r="M121" s="42"/>
      <c r="N121" s="42"/>
      <c r="O121" s="42"/>
      <c r="P121" s="42"/>
      <c r="Q121" s="42"/>
      <c r="R121" s="42"/>
      <c r="S121" s="42"/>
      <c r="T121" s="390"/>
    </row>
    <row r="122" spans="1:20" x14ac:dyDescent="0.3">
      <c r="A122" s="36"/>
      <c r="B122" s="389"/>
      <c r="C122" s="42"/>
      <c r="D122" s="42"/>
      <c r="E122" s="42"/>
      <c r="F122" s="42"/>
      <c r="G122" s="42"/>
      <c r="H122" s="42"/>
      <c r="I122" s="42"/>
      <c r="J122" s="42"/>
      <c r="K122" s="42"/>
      <c r="L122" s="42"/>
      <c r="M122" s="42"/>
      <c r="N122" s="42"/>
      <c r="O122" s="42"/>
      <c r="P122" s="42"/>
      <c r="Q122" s="42"/>
      <c r="R122" s="42"/>
      <c r="S122" s="42"/>
      <c r="T122" s="390"/>
    </row>
    <row r="123" spans="1:20" x14ac:dyDescent="0.3">
      <c r="A123" s="36"/>
      <c r="B123" s="389"/>
      <c r="C123" s="42"/>
      <c r="D123" s="42"/>
      <c r="E123" s="42"/>
      <c r="F123" s="42"/>
      <c r="G123" s="42"/>
      <c r="H123" s="42"/>
      <c r="I123" s="42"/>
      <c r="J123" s="42"/>
      <c r="K123" s="42"/>
      <c r="L123" s="42"/>
      <c r="M123" s="42"/>
      <c r="N123" s="42"/>
      <c r="O123" s="42"/>
      <c r="P123" s="42"/>
      <c r="Q123" s="42"/>
      <c r="R123" s="42"/>
      <c r="S123" s="42"/>
      <c r="T123" s="390"/>
    </row>
    <row r="124" spans="1:20" x14ac:dyDescent="0.3">
      <c r="A124" s="36"/>
      <c r="B124" s="389"/>
      <c r="C124" s="42"/>
      <c r="D124" s="42"/>
      <c r="E124" s="42"/>
      <c r="F124" s="42"/>
      <c r="G124" s="42"/>
      <c r="H124" s="42"/>
      <c r="I124" s="42"/>
      <c r="J124" s="42"/>
      <c r="K124" s="42"/>
      <c r="L124" s="42"/>
      <c r="M124" s="42"/>
      <c r="N124" s="42"/>
      <c r="O124" s="42"/>
      <c r="P124" s="42"/>
      <c r="Q124" s="42"/>
      <c r="R124" s="42"/>
      <c r="S124" s="42"/>
      <c r="T124" s="390"/>
    </row>
    <row r="125" spans="1:20" x14ac:dyDescent="0.3">
      <c r="A125" s="36"/>
      <c r="B125" s="389"/>
      <c r="C125" s="42"/>
      <c r="D125" s="42"/>
      <c r="E125" s="42"/>
      <c r="F125" s="42"/>
      <c r="G125" s="42"/>
      <c r="H125" s="42"/>
      <c r="I125" s="42"/>
      <c r="J125" s="42"/>
      <c r="K125" s="42"/>
      <c r="L125" s="42"/>
      <c r="M125" s="42"/>
      <c r="N125" s="42"/>
      <c r="O125" s="42"/>
      <c r="P125" s="42"/>
      <c r="Q125" s="42"/>
      <c r="R125" s="42"/>
      <c r="S125" s="42"/>
      <c r="T125" s="390"/>
    </row>
    <row r="126" spans="1:20" x14ac:dyDescent="0.3">
      <c r="A126" s="36"/>
      <c r="B126" s="389"/>
      <c r="C126" s="42"/>
      <c r="D126" s="42"/>
      <c r="E126" s="42"/>
      <c r="F126" s="42"/>
      <c r="G126" s="42"/>
      <c r="H126" s="42"/>
      <c r="I126" s="42"/>
      <c r="J126" s="42"/>
      <c r="K126" s="42"/>
      <c r="L126" s="42"/>
      <c r="M126" s="42"/>
      <c r="N126" s="42"/>
      <c r="O126" s="42"/>
      <c r="P126" s="42"/>
      <c r="Q126" s="42"/>
      <c r="R126" s="42"/>
      <c r="S126" s="42"/>
      <c r="T126" s="390"/>
    </row>
    <row r="127" spans="1:20" x14ac:dyDescent="0.3">
      <c r="A127" s="36"/>
      <c r="B127" s="389"/>
      <c r="C127" s="42"/>
      <c r="D127" s="42"/>
      <c r="E127" s="42"/>
      <c r="F127" s="42"/>
      <c r="G127" s="42"/>
      <c r="H127" s="42"/>
      <c r="I127" s="42"/>
      <c r="J127" s="42"/>
      <c r="K127" s="42"/>
      <c r="L127" s="42"/>
      <c r="M127" s="42"/>
      <c r="N127" s="42"/>
      <c r="O127" s="42"/>
      <c r="P127" s="42"/>
      <c r="Q127" s="42"/>
      <c r="R127" s="42"/>
      <c r="S127" s="42"/>
      <c r="T127" s="390"/>
    </row>
    <row r="128" spans="1:20" x14ac:dyDescent="0.3">
      <c r="A128" s="36"/>
      <c r="B128" s="389"/>
      <c r="C128" s="42"/>
      <c r="D128" s="42"/>
      <c r="E128" s="42"/>
      <c r="F128" s="42"/>
      <c r="G128" s="42"/>
      <c r="H128" s="42"/>
      <c r="I128" s="42"/>
      <c r="J128" s="42"/>
      <c r="K128" s="42"/>
      <c r="L128" s="42"/>
      <c r="M128" s="42"/>
      <c r="N128" s="42"/>
      <c r="O128" s="42"/>
      <c r="P128" s="42"/>
      <c r="Q128" s="42"/>
      <c r="R128" s="42"/>
      <c r="S128" s="42"/>
      <c r="T128" s="390"/>
    </row>
    <row r="129" spans="1:22" x14ac:dyDescent="0.3">
      <c r="A129" s="36"/>
      <c r="B129" s="389"/>
      <c r="C129" s="42"/>
      <c r="D129" s="42"/>
      <c r="E129" s="42"/>
      <c r="F129" s="42"/>
      <c r="G129" s="42"/>
      <c r="H129" s="42"/>
      <c r="I129" s="42"/>
      <c r="J129" s="42"/>
      <c r="K129" s="42"/>
      <c r="L129" s="42"/>
      <c r="M129" s="42"/>
      <c r="N129" s="42"/>
      <c r="O129" s="42"/>
      <c r="P129" s="42"/>
      <c r="Q129" s="42"/>
      <c r="R129" s="42"/>
      <c r="S129" s="42"/>
      <c r="T129" s="390"/>
    </row>
    <row r="130" spans="1:22" x14ac:dyDescent="0.3">
      <c r="A130" s="36"/>
      <c r="B130" s="389"/>
      <c r="C130" s="42"/>
      <c r="D130" s="42"/>
      <c r="E130" s="42"/>
      <c r="F130" s="42"/>
      <c r="G130" s="42"/>
      <c r="H130" s="42"/>
      <c r="I130" s="42"/>
      <c r="J130" s="42"/>
      <c r="K130" s="42"/>
      <c r="L130" s="42"/>
      <c r="M130" s="42"/>
      <c r="N130" s="42"/>
      <c r="O130" s="42"/>
      <c r="P130" s="42"/>
      <c r="Q130" s="42"/>
      <c r="R130" s="42"/>
      <c r="S130" s="42"/>
      <c r="T130" s="390"/>
    </row>
    <row r="131" spans="1:22" x14ac:dyDescent="0.3">
      <c r="A131" s="36"/>
      <c r="B131" s="389"/>
      <c r="C131" s="42"/>
      <c r="D131" s="42"/>
      <c r="E131" s="42"/>
      <c r="F131" s="42"/>
      <c r="G131" s="42"/>
      <c r="H131" s="42"/>
      <c r="I131" s="42"/>
      <c r="J131" s="42"/>
      <c r="K131" s="42"/>
      <c r="L131" s="42"/>
      <c r="M131" s="42"/>
      <c r="N131" s="42"/>
      <c r="O131" s="42"/>
      <c r="P131" s="42"/>
      <c r="Q131" s="42"/>
      <c r="R131" s="42"/>
      <c r="S131" s="42"/>
      <c r="T131" s="390"/>
    </row>
    <row r="132" spans="1:22" x14ac:dyDescent="0.3">
      <c r="A132" s="36"/>
      <c r="B132" s="393"/>
      <c r="C132" s="394"/>
      <c r="D132" s="394"/>
      <c r="E132" s="394"/>
      <c r="F132" s="394"/>
      <c r="G132" s="394"/>
      <c r="H132" s="394"/>
      <c r="I132" s="394"/>
      <c r="J132" s="394"/>
      <c r="K132" s="394"/>
      <c r="L132" s="394"/>
      <c r="M132" s="394"/>
      <c r="N132" s="394"/>
      <c r="O132" s="394"/>
      <c r="P132" s="394"/>
      <c r="Q132" s="394"/>
      <c r="R132" s="394"/>
      <c r="S132" s="394"/>
      <c r="T132" s="395"/>
    </row>
    <row r="133" spans="1:22" hidden="1" x14ac:dyDescent="0.3"/>
    <row r="134" spans="1:22" hidden="1" x14ac:dyDescent="0.3"/>
    <row r="135" spans="1:22" ht="42" hidden="1" x14ac:dyDescent="0.3">
      <c r="C135" s="672" t="s">
        <v>413</v>
      </c>
      <c r="D135" s="728">
        <v>2016</v>
      </c>
    </row>
    <row r="136" spans="1:22" hidden="1" x14ac:dyDescent="0.3"/>
    <row r="137" spans="1:22" ht="50.5" hidden="1" x14ac:dyDescent="0.3">
      <c r="C137" s="37" t="s">
        <v>62</v>
      </c>
      <c r="D137" s="731" t="s">
        <v>424</v>
      </c>
      <c r="E137" s="118"/>
      <c r="F137" s="396"/>
      <c r="G137" s="397"/>
      <c r="H137" s="397"/>
      <c r="I137" s="397"/>
      <c r="J137" s="397"/>
      <c r="K137" s="397"/>
      <c r="L137" s="397"/>
      <c r="M137" s="397"/>
      <c r="N137" s="397"/>
      <c r="O137" s="397"/>
      <c r="P137" s="397"/>
      <c r="Q137" s="397"/>
      <c r="R137" s="397"/>
      <c r="S137" s="397"/>
      <c r="T137" s="397"/>
      <c r="U137" s="397"/>
      <c r="V137" s="397"/>
    </row>
    <row r="138" spans="1:22" hidden="1" x14ac:dyDescent="0.3">
      <c r="C138" s="315" t="s">
        <v>57</v>
      </c>
      <c r="D138" s="398">
        <f ca="1">'Prix historique'!U32</f>
        <v>83.7</v>
      </c>
      <c r="F138" s="118"/>
      <c r="G138" s="397"/>
      <c r="H138" s="397"/>
      <c r="I138" s="397"/>
      <c r="J138" s="397"/>
      <c r="K138" s="397"/>
      <c r="L138" s="397"/>
      <c r="M138" s="397"/>
      <c r="N138" s="397"/>
      <c r="O138" s="397"/>
      <c r="P138" s="397"/>
      <c r="Q138" s="397"/>
      <c r="R138" s="397"/>
      <c r="S138" s="397"/>
      <c r="T138" s="397"/>
      <c r="U138" s="397"/>
      <c r="V138" s="397"/>
    </row>
    <row r="139" spans="1:22" hidden="1" x14ac:dyDescent="0.3">
      <c r="C139" s="315" t="s">
        <v>58</v>
      </c>
      <c r="D139" s="398">
        <f ca="1">'Prix historique'!U41/$G$267</f>
        <v>40.888888888888886</v>
      </c>
      <c r="F139" s="118"/>
      <c r="G139" s="397"/>
      <c r="H139" s="397"/>
      <c r="I139" s="397"/>
      <c r="J139" s="397"/>
      <c r="K139" s="397"/>
      <c r="L139" s="397"/>
      <c r="M139" s="397"/>
      <c r="N139" s="397"/>
      <c r="O139" s="397"/>
      <c r="P139" s="397"/>
      <c r="Q139" s="397"/>
      <c r="R139" s="397"/>
      <c r="S139" s="397"/>
      <c r="T139" s="397"/>
      <c r="U139" s="397"/>
      <c r="V139" s="397"/>
    </row>
    <row r="140" spans="1:22" hidden="1" x14ac:dyDescent="0.3">
      <c r="C140" s="315" t="s">
        <v>15</v>
      </c>
      <c r="D140" s="398">
        <f>'Prix historique'!$U$11</f>
        <v>27.000270002700024</v>
      </c>
      <c r="F140" s="118"/>
      <c r="G140" s="397"/>
      <c r="H140" s="397"/>
      <c r="I140" s="397"/>
      <c r="J140" s="397"/>
      <c r="K140" s="397"/>
      <c r="L140" s="397"/>
      <c r="M140" s="397"/>
      <c r="N140" s="397"/>
      <c r="O140" s="397"/>
      <c r="P140" s="397"/>
      <c r="Q140" s="397"/>
      <c r="R140" s="397"/>
      <c r="S140" s="397"/>
      <c r="T140" s="397"/>
      <c r="U140" s="397"/>
      <c r="V140" s="397"/>
    </row>
    <row r="141" spans="1:22" hidden="1" x14ac:dyDescent="0.3">
      <c r="C141" s="315" t="s">
        <v>128</v>
      </c>
      <c r="D141" s="398">
        <f>'Prix historique'!$U$16</f>
        <v>47.300000000000004</v>
      </c>
      <c r="F141" s="118"/>
      <c r="G141" s="397"/>
      <c r="H141" s="397"/>
      <c r="I141" s="397"/>
      <c r="J141" s="397"/>
      <c r="K141" s="397"/>
      <c r="L141" s="397"/>
      <c r="M141" s="397"/>
      <c r="N141" s="397"/>
      <c r="O141" s="397"/>
      <c r="P141" s="397"/>
      <c r="Q141" s="397"/>
      <c r="R141" s="397"/>
      <c r="S141" s="397"/>
      <c r="T141" s="397"/>
      <c r="U141" s="397"/>
      <c r="V141" s="397"/>
    </row>
    <row r="142" spans="1:22" hidden="1" x14ac:dyDescent="0.3">
      <c r="C142" s="315" t="s">
        <v>18</v>
      </c>
      <c r="D142" s="398">
        <f>'Prix historique'!$U$14</f>
        <v>95.311626666875682</v>
      </c>
      <c r="F142" s="118"/>
      <c r="G142" s="397"/>
      <c r="H142" s="397"/>
      <c r="I142" s="397"/>
      <c r="J142" s="397"/>
      <c r="K142" s="397"/>
      <c r="L142" s="397"/>
      <c r="M142" s="397"/>
      <c r="N142" s="397"/>
      <c r="O142" s="397"/>
      <c r="P142" s="397"/>
      <c r="Q142" s="397"/>
      <c r="R142" s="397"/>
      <c r="S142" s="397"/>
      <c r="T142" s="397"/>
      <c r="U142" s="397"/>
      <c r="V142" s="397"/>
    </row>
    <row r="143" spans="1:22" hidden="1" x14ac:dyDescent="0.3">
      <c r="C143" s="315" t="s">
        <v>129</v>
      </c>
      <c r="D143" s="398">
        <v>17</v>
      </c>
      <c r="E143" s="317" t="s">
        <v>184</v>
      </c>
      <c r="G143" s="397"/>
      <c r="H143" s="397"/>
      <c r="I143" s="397"/>
      <c r="J143" s="397"/>
      <c r="K143" s="397"/>
      <c r="L143" s="397"/>
      <c r="M143" s="397"/>
      <c r="N143" s="397"/>
      <c r="O143" s="397"/>
      <c r="P143" s="397"/>
      <c r="Q143" s="397"/>
      <c r="R143" s="397"/>
      <c r="S143" s="397"/>
      <c r="T143" s="397"/>
      <c r="U143" s="397"/>
      <c r="V143" s="397"/>
    </row>
    <row r="144" spans="1:22" hidden="1" x14ac:dyDescent="0.3">
      <c r="C144" s="315" t="s">
        <v>130</v>
      </c>
      <c r="D144" s="398">
        <f ca="1">D139/95%</f>
        <v>43.040935672514621</v>
      </c>
      <c r="E144" s="317" t="s">
        <v>327</v>
      </c>
      <c r="G144" s="397"/>
      <c r="H144" s="397"/>
      <c r="I144" s="397"/>
      <c r="J144" s="397"/>
      <c r="K144" s="397"/>
      <c r="L144" s="397"/>
      <c r="M144" s="397"/>
      <c r="N144" s="397"/>
      <c r="O144" s="397"/>
      <c r="P144" s="397"/>
      <c r="Q144" s="397"/>
      <c r="R144" s="397"/>
      <c r="S144" s="397"/>
      <c r="T144" s="397"/>
      <c r="U144" s="397"/>
      <c r="V144" s="397"/>
    </row>
    <row r="145" spans="1:23" hidden="1" x14ac:dyDescent="0.3">
      <c r="C145" s="316" t="s">
        <v>131</v>
      </c>
      <c r="D145" s="398"/>
      <c r="F145" s="118"/>
      <c r="G145" s="397"/>
      <c r="H145" s="397"/>
      <c r="I145" s="397"/>
      <c r="J145" s="397"/>
      <c r="K145" s="397"/>
      <c r="L145" s="397"/>
      <c r="M145" s="397"/>
      <c r="N145" s="397"/>
      <c r="O145" s="397"/>
      <c r="P145" s="397"/>
      <c r="Q145" s="397"/>
      <c r="R145" s="397"/>
      <c r="S145" s="397"/>
      <c r="T145" s="397"/>
      <c r="U145" s="397"/>
      <c r="V145" s="397"/>
    </row>
    <row r="146" spans="1:23" hidden="1" x14ac:dyDescent="0.3">
      <c r="B146" s="399"/>
      <c r="C146" s="206"/>
      <c r="D146" s="118"/>
      <c r="E146" s="118"/>
      <c r="F146" s="396"/>
      <c r="G146" s="397"/>
      <c r="H146" s="397"/>
      <c r="I146" s="397"/>
      <c r="J146" s="397"/>
      <c r="K146" s="397"/>
      <c r="L146" s="397"/>
      <c r="M146" s="397"/>
      <c r="N146" s="397"/>
      <c r="O146" s="397"/>
      <c r="P146" s="397"/>
      <c r="Q146" s="397"/>
      <c r="R146" s="397"/>
      <c r="S146" s="397"/>
      <c r="T146" s="397"/>
      <c r="U146" s="397"/>
      <c r="V146" s="397"/>
    </row>
    <row r="147" spans="1:23" hidden="1" x14ac:dyDescent="0.3">
      <c r="A147" s="36"/>
    </row>
    <row r="148" spans="1:23" ht="15.5" hidden="1" x14ac:dyDescent="0.35">
      <c r="A148" s="36"/>
      <c r="B148" s="735" t="s">
        <v>425</v>
      </c>
      <c r="C148" s="38"/>
      <c r="D148" s="38"/>
      <c r="E148" s="38"/>
      <c r="F148" s="38"/>
      <c r="G148" s="38"/>
      <c r="H148" s="38"/>
      <c r="I148" s="38"/>
      <c r="J148" s="38"/>
      <c r="K148" s="38"/>
      <c r="L148" s="38"/>
      <c r="M148" s="38"/>
      <c r="N148" s="38"/>
      <c r="O148" s="38"/>
      <c r="P148" s="38"/>
      <c r="Q148" s="38"/>
      <c r="R148" s="38"/>
      <c r="S148" s="38"/>
      <c r="T148" s="38"/>
      <c r="U148" s="38"/>
      <c r="V148" s="38"/>
      <c r="W148" s="38"/>
    </row>
    <row r="149" spans="1:23" hidden="1" x14ac:dyDescent="0.3">
      <c r="A149" s="36"/>
      <c r="B149" s="38" t="s">
        <v>62</v>
      </c>
      <c r="C149" s="38"/>
      <c r="D149" s="38"/>
      <c r="E149" s="38"/>
      <c r="F149" s="38"/>
      <c r="G149" s="38"/>
      <c r="H149" s="38"/>
      <c r="I149" s="38"/>
      <c r="J149" s="38"/>
      <c r="K149" s="38"/>
      <c r="L149" s="38"/>
      <c r="M149" s="38"/>
      <c r="N149" s="38"/>
      <c r="O149" s="38"/>
      <c r="P149" s="38"/>
      <c r="Q149" s="38"/>
      <c r="R149" s="38"/>
      <c r="S149" s="38"/>
      <c r="T149" s="736"/>
      <c r="U149" s="38"/>
      <c r="V149" s="38"/>
      <c r="W149" s="38"/>
    </row>
    <row r="150" spans="1:23" hidden="1" x14ac:dyDescent="0.3">
      <c r="A150" s="36"/>
      <c r="B150" s="689" t="s">
        <v>8</v>
      </c>
      <c r="C150" s="689" t="s">
        <v>120</v>
      </c>
      <c r="D150" s="690">
        <f>D135</f>
        <v>2016</v>
      </c>
      <c r="E150" s="690">
        <f>D150+1</f>
        <v>2017</v>
      </c>
      <c r="F150" s="690">
        <f t="shared" ref="F150:W150" si="16">E150+1</f>
        <v>2018</v>
      </c>
      <c r="G150" s="690">
        <f t="shared" si="16"/>
        <v>2019</v>
      </c>
      <c r="H150" s="690">
        <f t="shared" si="16"/>
        <v>2020</v>
      </c>
      <c r="I150" s="690">
        <f t="shared" si="16"/>
        <v>2021</v>
      </c>
      <c r="J150" s="690">
        <f t="shared" si="16"/>
        <v>2022</v>
      </c>
      <c r="K150" s="690">
        <f t="shared" si="16"/>
        <v>2023</v>
      </c>
      <c r="L150" s="690">
        <f t="shared" si="16"/>
        <v>2024</v>
      </c>
      <c r="M150" s="690">
        <f t="shared" si="16"/>
        <v>2025</v>
      </c>
      <c r="N150" s="690">
        <f t="shared" si="16"/>
        <v>2026</v>
      </c>
      <c r="O150" s="690">
        <f t="shared" si="16"/>
        <v>2027</v>
      </c>
      <c r="P150" s="690">
        <f t="shared" si="16"/>
        <v>2028</v>
      </c>
      <c r="Q150" s="690">
        <f t="shared" si="16"/>
        <v>2029</v>
      </c>
      <c r="R150" s="690">
        <f t="shared" si="16"/>
        <v>2030</v>
      </c>
      <c r="S150" s="690">
        <f t="shared" si="16"/>
        <v>2031</v>
      </c>
      <c r="T150" s="690">
        <f t="shared" si="16"/>
        <v>2032</v>
      </c>
      <c r="U150" s="690">
        <f t="shared" si="16"/>
        <v>2033</v>
      </c>
      <c r="V150" s="690">
        <f t="shared" si="16"/>
        <v>2034</v>
      </c>
      <c r="W150" s="690">
        <f t="shared" si="16"/>
        <v>2035</v>
      </c>
    </row>
    <row r="151" spans="1:23" hidden="1" x14ac:dyDescent="0.3">
      <c r="A151" s="36"/>
      <c r="B151" s="734" t="s">
        <v>57</v>
      </c>
      <c r="C151" s="734" t="s">
        <v>418</v>
      </c>
      <c r="D151" s="739">
        <f ca="1">'Paramètres et Résultats'!$AF$27</f>
        <v>83.7</v>
      </c>
      <c r="E151" s="739">
        <f t="shared" ref="E151:W151" ca="1" si="17">D151*X242/W242</f>
        <v>85.801175375842632</v>
      </c>
      <c r="F151" s="739">
        <f t="shared" ca="1" si="17"/>
        <v>87.955097919666713</v>
      </c>
      <c r="G151" s="739">
        <f t="shared" ca="1" si="17"/>
        <v>90.163091777834339</v>
      </c>
      <c r="H151" s="739">
        <f t="shared" ca="1" si="17"/>
        <v>92.426514337612403</v>
      </c>
      <c r="I151" s="739">
        <f t="shared" ca="1" si="17"/>
        <v>94.746757061640565</v>
      </c>
      <c r="J151" s="739">
        <f t="shared" ca="1" si="17"/>
        <v>97.125246343347413</v>
      </c>
      <c r="K151" s="739">
        <f t="shared" ca="1" si="17"/>
        <v>99.563444383840732</v>
      </c>
      <c r="L151" s="739">
        <f t="shared" ca="1" si="17"/>
        <v>102.0628500908109</v>
      </c>
      <c r="M151" s="739">
        <f t="shared" ca="1" si="17"/>
        <v>104.625</v>
      </c>
      <c r="N151" s="739">
        <f t="shared" ca="1" si="17"/>
        <v>106.55003472938242</v>
      </c>
      <c r="O151" s="739">
        <f t="shared" ca="1" si="17"/>
        <v>108.51048889684682</v>
      </c>
      <c r="P151" s="739">
        <f t="shared" ca="1" si="17"/>
        <v>110.5070141979574</v>
      </c>
      <c r="Q151" s="739">
        <f t="shared" ca="1" si="17"/>
        <v>112.54027431907016</v>
      </c>
      <c r="R151" s="739">
        <f t="shared" ca="1" si="17"/>
        <v>114.61094515795602</v>
      </c>
      <c r="S151" s="739">
        <f t="shared" ca="1" si="17"/>
        <v>116.71971504848322</v>
      </c>
      <c r="T151" s="739">
        <f t="shared" ca="1" si="17"/>
        <v>118.86728498943376</v>
      </c>
      <c r="U151" s="739">
        <f t="shared" ca="1" si="17"/>
        <v>121.05436887752988</v>
      </c>
      <c r="V151" s="739">
        <f t="shared" ca="1" si="17"/>
        <v>123.28169374474818</v>
      </c>
      <c r="W151" s="739">
        <f t="shared" ca="1" si="17"/>
        <v>125.55</v>
      </c>
    </row>
    <row r="152" spans="1:23" hidden="1" x14ac:dyDescent="0.3">
      <c r="A152" s="36"/>
      <c r="B152" s="734" t="s">
        <v>57</v>
      </c>
      <c r="C152" s="737" t="s">
        <v>79</v>
      </c>
      <c r="D152" s="739">
        <f ca="1">'Paramètres et Résultats'!$AF$27</f>
        <v>83.7</v>
      </c>
      <c r="E152" s="739">
        <f ca="1">D152</f>
        <v>83.7</v>
      </c>
      <c r="F152" s="739">
        <f t="shared" ref="F152:W152" ca="1" si="18">E152</f>
        <v>83.7</v>
      </c>
      <c r="G152" s="739">
        <f t="shared" ca="1" si="18"/>
        <v>83.7</v>
      </c>
      <c r="H152" s="739">
        <f t="shared" ca="1" si="18"/>
        <v>83.7</v>
      </c>
      <c r="I152" s="739">
        <f t="shared" ca="1" si="18"/>
        <v>83.7</v>
      </c>
      <c r="J152" s="739">
        <f t="shared" ca="1" si="18"/>
        <v>83.7</v>
      </c>
      <c r="K152" s="739">
        <f t="shared" ca="1" si="18"/>
        <v>83.7</v>
      </c>
      <c r="L152" s="739">
        <f t="shared" ca="1" si="18"/>
        <v>83.7</v>
      </c>
      <c r="M152" s="739">
        <f t="shared" ca="1" si="18"/>
        <v>83.7</v>
      </c>
      <c r="N152" s="739">
        <f t="shared" ca="1" si="18"/>
        <v>83.7</v>
      </c>
      <c r="O152" s="739">
        <f t="shared" ca="1" si="18"/>
        <v>83.7</v>
      </c>
      <c r="P152" s="739">
        <f t="shared" ca="1" si="18"/>
        <v>83.7</v>
      </c>
      <c r="Q152" s="739">
        <f t="shared" ca="1" si="18"/>
        <v>83.7</v>
      </c>
      <c r="R152" s="739">
        <f t="shared" ca="1" si="18"/>
        <v>83.7</v>
      </c>
      <c r="S152" s="739">
        <f t="shared" ca="1" si="18"/>
        <v>83.7</v>
      </c>
      <c r="T152" s="739">
        <f t="shared" ca="1" si="18"/>
        <v>83.7</v>
      </c>
      <c r="U152" s="739">
        <f t="shared" ca="1" si="18"/>
        <v>83.7</v>
      </c>
      <c r="V152" s="739">
        <f t="shared" ca="1" si="18"/>
        <v>83.7</v>
      </c>
      <c r="W152" s="739">
        <f t="shared" ca="1" si="18"/>
        <v>83.7</v>
      </c>
    </row>
    <row r="153" spans="1:23" hidden="1" x14ac:dyDescent="0.3">
      <c r="A153" s="36"/>
      <c r="B153" s="734" t="s">
        <v>57</v>
      </c>
      <c r="C153" s="738" t="s">
        <v>239</v>
      </c>
      <c r="D153" s="739">
        <f ca="1">'Paramètres et Résultats'!$AF$27</f>
        <v>83.7</v>
      </c>
      <c r="E153" s="739">
        <f ca="1">VLOOKUP(E$150,$C$70:$K$108,HLOOKUP($B153,$C$70:$K$108,2,FALSE),FALSE)</f>
        <v>87.885000000000005</v>
      </c>
      <c r="F153" s="739">
        <f t="shared" ref="F153:W153" ca="1" si="19">VLOOKUP(F$150,$C$70:$K$108,HLOOKUP($B153,$C$70:$K$108,2,FALSE),FALSE)</f>
        <v>92.279250000000005</v>
      </c>
      <c r="G153" s="739">
        <f t="shared" ca="1" si="19"/>
        <v>96.893212500000004</v>
      </c>
      <c r="H153" s="739">
        <f t="shared" ca="1" si="19"/>
        <v>101.73787312500001</v>
      </c>
      <c r="I153" s="739">
        <f t="shared" ca="1" si="19"/>
        <v>106.82476678125001</v>
      </c>
      <c r="J153" s="739">
        <f t="shared" ca="1" si="19"/>
        <v>112.16600512031251</v>
      </c>
      <c r="K153" s="739">
        <f t="shared" ca="1" si="19"/>
        <v>117.77430537632813</v>
      </c>
      <c r="L153" s="739">
        <f t="shared" ca="1" si="19"/>
        <v>123.66302064514454</v>
      </c>
      <c r="M153" s="739">
        <f t="shared" ca="1" si="19"/>
        <v>129.84617167740177</v>
      </c>
      <c r="N153" s="739">
        <f t="shared" ca="1" si="19"/>
        <v>136.33848026127185</v>
      </c>
      <c r="O153" s="739">
        <f t="shared" ca="1" si="19"/>
        <v>143.15540427433547</v>
      </c>
      <c r="P153" s="739">
        <f t="shared" ca="1" si="19"/>
        <v>150.31317448805225</v>
      </c>
      <c r="Q153" s="739">
        <f t="shared" ca="1" si="19"/>
        <v>157.82883321245487</v>
      </c>
      <c r="R153" s="739">
        <f t="shared" ca="1" si="19"/>
        <v>165.72027487307761</v>
      </c>
      <c r="S153" s="739">
        <f t="shared" ca="1" si="19"/>
        <v>174.0062886167315</v>
      </c>
      <c r="T153" s="739">
        <f t="shared" ca="1" si="19"/>
        <v>182.70660304756808</v>
      </c>
      <c r="U153" s="739">
        <f t="shared" ca="1" si="19"/>
        <v>191.84193319994648</v>
      </c>
      <c r="V153" s="739">
        <f t="shared" ca="1" si="19"/>
        <v>201.43402985994382</v>
      </c>
      <c r="W153" s="739">
        <f t="shared" ca="1" si="19"/>
        <v>211.50573135294101</v>
      </c>
    </row>
    <row r="154" spans="1:23" hidden="1" x14ac:dyDescent="0.3">
      <c r="A154" s="36"/>
      <c r="B154" s="734" t="s">
        <v>58</v>
      </c>
      <c r="C154" s="734" t="s">
        <v>418</v>
      </c>
      <c r="D154" s="739">
        <f ca="1">'Paramètres et Résultats'!$AF$28</f>
        <v>40.888888888888886</v>
      </c>
      <c r="E154" s="739">
        <f t="shared" ref="E154:W154" ca="1" si="20">D154*X240/W240</f>
        <v>42.567536630775031</v>
      </c>
      <c r="F154" s="739">
        <f t="shared" ca="1" si="20"/>
        <v>44.80756285048534</v>
      </c>
      <c r="G154" s="739">
        <f t="shared" ca="1" si="20"/>
        <v>47.414921496428143</v>
      </c>
      <c r="H154" s="739">
        <f t="shared" ca="1" si="20"/>
        <v>50.468364859683277</v>
      </c>
      <c r="I154" s="739">
        <f t="shared" ca="1" si="20"/>
        <v>52.228416235318825</v>
      </c>
      <c r="J154" s="739">
        <f t="shared" ca="1" si="20"/>
        <v>54.070628019679681</v>
      </c>
      <c r="K154" s="739">
        <f t="shared" ca="1" si="20"/>
        <v>55.999060907003766</v>
      </c>
      <c r="L154" s="739">
        <f t="shared" ca="1" si="20"/>
        <v>58.017986906031872</v>
      </c>
      <c r="M154" s="739">
        <f t="shared" ca="1" si="20"/>
        <v>60.131900809124019</v>
      </c>
      <c r="N154" s="739">
        <f t="shared" ca="1" si="20"/>
        <v>62.345532303832904</v>
      </c>
      <c r="O154" s="739">
        <f t="shared" ca="1" si="20"/>
        <v>64.663858763731653</v>
      </c>
      <c r="P154" s="739">
        <f t="shared" ca="1" si="20"/>
        <v>67.092118757432587</v>
      </c>
      <c r="Q154" s="739">
        <f t="shared" ca="1" si="20"/>
        <v>69.635826316998475</v>
      </c>
      <c r="R154" s="739">
        <f t="shared" ca="1" si="20"/>
        <v>72.300786009345799</v>
      </c>
      <c r="S154" s="739">
        <f t="shared" ca="1" si="20"/>
        <v>74.05353678532056</v>
      </c>
      <c r="T154" s="739">
        <f t="shared" ca="1" si="20"/>
        <v>75.89115061561796</v>
      </c>
      <c r="U154" s="739">
        <f t="shared" ca="1" si="20"/>
        <v>77.81849122587569</v>
      </c>
      <c r="V154" s="739">
        <f t="shared" ca="1" si="20"/>
        <v>79.840710616582754</v>
      </c>
      <c r="W154" s="739">
        <f t="shared" ca="1" si="20"/>
        <v>81.963266250700471</v>
      </c>
    </row>
    <row r="155" spans="1:23" hidden="1" x14ac:dyDescent="0.3">
      <c r="A155" s="36"/>
      <c r="B155" s="734" t="s">
        <v>58</v>
      </c>
      <c r="C155" s="737" t="s">
        <v>79</v>
      </c>
      <c r="D155" s="739">
        <f ca="1">'Paramètres et Résultats'!$AF$28</f>
        <v>40.888888888888886</v>
      </c>
      <c r="E155" s="739">
        <f ca="1">D155</f>
        <v>40.888888888888886</v>
      </c>
      <c r="F155" s="739">
        <f t="shared" ref="F155:W155" ca="1" si="21">E155</f>
        <v>40.888888888888886</v>
      </c>
      <c r="G155" s="739">
        <f t="shared" ca="1" si="21"/>
        <v>40.888888888888886</v>
      </c>
      <c r="H155" s="739">
        <f t="shared" ca="1" si="21"/>
        <v>40.888888888888886</v>
      </c>
      <c r="I155" s="739">
        <f t="shared" ca="1" si="21"/>
        <v>40.888888888888886</v>
      </c>
      <c r="J155" s="739">
        <f t="shared" ca="1" si="21"/>
        <v>40.888888888888886</v>
      </c>
      <c r="K155" s="739">
        <f t="shared" ca="1" si="21"/>
        <v>40.888888888888886</v>
      </c>
      <c r="L155" s="739">
        <f t="shared" ca="1" si="21"/>
        <v>40.888888888888886</v>
      </c>
      <c r="M155" s="739">
        <f t="shared" ca="1" si="21"/>
        <v>40.888888888888886</v>
      </c>
      <c r="N155" s="739">
        <f t="shared" ca="1" si="21"/>
        <v>40.888888888888886</v>
      </c>
      <c r="O155" s="739">
        <f t="shared" ca="1" si="21"/>
        <v>40.888888888888886</v>
      </c>
      <c r="P155" s="739">
        <f t="shared" ca="1" si="21"/>
        <v>40.888888888888886</v>
      </c>
      <c r="Q155" s="739">
        <f t="shared" ca="1" si="21"/>
        <v>40.888888888888886</v>
      </c>
      <c r="R155" s="739">
        <f t="shared" ca="1" si="21"/>
        <v>40.888888888888886</v>
      </c>
      <c r="S155" s="739">
        <f t="shared" ca="1" si="21"/>
        <v>40.888888888888886</v>
      </c>
      <c r="T155" s="739">
        <f t="shared" ca="1" si="21"/>
        <v>40.888888888888886</v>
      </c>
      <c r="U155" s="739">
        <f t="shared" ca="1" si="21"/>
        <v>40.888888888888886</v>
      </c>
      <c r="V155" s="739">
        <f t="shared" ca="1" si="21"/>
        <v>40.888888888888886</v>
      </c>
      <c r="W155" s="739">
        <f t="shared" ca="1" si="21"/>
        <v>40.888888888888886</v>
      </c>
    </row>
    <row r="156" spans="1:23" hidden="1" x14ac:dyDescent="0.3">
      <c r="A156" s="36"/>
      <c r="B156" s="734" t="s">
        <v>58</v>
      </c>
      <c r="C156" s="738" t="s">
        <v>239</v>
      </c>
      <c r="D156" s="739">
        <f ca="1">'Paramètres et Résultats'!$AF$28</f>
        <v>40.888888888888886</v>
      </c>
      <c r="E156" s="739">
        <f ca="1">VLOOKUP(E$150,$C$70:$K$108,HLOOKUP($B156,$C$70:$K$108,2,FALSE),FALSE)</f>
        <v>42.93333333333333</v>
      </c>
      <c r="F156" s="739">
        <f t="shared" ref="F156:W156" ca="1" si="22">VLOOKUP(F$150,$C$70:$K$108,HLOOKUP($B156,$C$70:$K$108,2,FALSE),FALSE)</f>
        <v>45.08</v>
      </c>
      <c r="G156" s="739">
        <f t="shared" ca="1" si="22"/>
        <v>47.334000000000003</v>
      </c>
      <c r="H156" s="739">
        <f t="shared" ca="1" si="22"/>
        <v>49.700700000000005</v>
      </c>
      <c r="I156" s="739">
        <f t="shared" ca="1" si="22"/>
        <v>52.185735000000008</v>
      </c>
      <c r="J156" s="739">
        <f t="shared" ca="1" si="22"/>
        <v>54.795021750000011</v>
      </c>
      <c r="K156" s="739">
        <f t="shared" ca="1" si="22"/>
        <v>57.534772837500014</v>
      </c>
      <c r="L156" s="739">
        <f t="shared" ca="1" si="22"/>
        <v>60.411511479375015</v>
      </c>
      <c r="M156" s="739">
        <f t="shared" ca="1" si="22"/>
        <v>63.432087053343771</v>
      </c>
      <c r="N156" s="739">
        <f t="shared" ca="1" si="22"/>
        <v>66.603691406010967</v>
      </c>
      <c r="O156" s="739">
        <f t="shared" ca="1" si="22"/>
        <v>69.933875976311512</v>
      </c>
      <c r="P156" s="739">
        <f t="shared" ca="1" si="22"/>
        <v>73.430569775127097</v>
      </c>
      <c r="Q156" s="739">
        <f t="shared" ca="1" si="22"/>
        <v>77.102098263883448</v>
      </c>
      <c r="R156" s="739">
        <f t="shared" ca="1" si="22"/>
        <v>80.957203177077631</v>
      </c>
      <c r="S156" s="739">
        <f t="shared" ca="1" si="22"/>
        <v>85.00506333593151</v>
      </c>
      <c r="T156" s="739">
        <f t="shared" ca="1" si="22"/>
        <v>89.255316502728093</v>
      </c>
      <c r="U156" s="739">
        <f t="shared" ca="1" si="22"/>
        <v>93.718082327864508</v>
      </c>
      <c r="V156" s="739">
        <f t="shared" ca="1" si="22"/>
        <v>98.40398644425774</v>
      </c>
      <c r="W156" s="739">
        <f t="shared" ca="1" si="22"/>
        <v>103.32418576647063</v>
      </c>
    </row>
    <row r="157" spans="1:23" hidden="1" x14ac:dyDescent="0.3">
      <c r="A157" s="36"/>
      <c r="B157" s="734" t="s">
        <v>15</v>
      </c>
      <c r="C157" s="734" t="s">
        <v>418</v>
      </c>
      <c r="D157" s="739">
        <f>'Paramètres et Résultats'!$AF$29</f>
        <v>27.000270002700024</v>
      </c>
      <c r="E157" s="739">
        <f t="shared" ref="E157:W157" si="23">D157*X236/W236</f>
        <v>31.273740800044457</v>
      </c>
      <c r="F157" s="739">
        <f t="shared" si="23"/>
        <v>38.672217070691829</v>
      </c>
      <c r="G157" s="739">
        <f t="shared" si="23"/>
        <v>47.538884426706836</v>
      </c>
      <c r="H157" s="739">
        <f t="shared" si="23"/>
        <v>58.166879668796675</v>
      </c>
      <c r="I157" s="739">
        <f t="shared" si="23"/>
        <v>60.818174911001655</v>
      </c>
      <c r="J157" s="739">
        <f t="shared" si="23"/>
        <v>63.585843856490278</v>
      </c>
      <c r="K157" s="739">
        <f t="shared" si="23"/>
        <v>66.475361272483369</v>
      </c>
      <c r="L157" s="739">
        <f t="shared" si="23"/>
        <v>69.492477012609513</v>
      </c>
      <c r="M157" s="739">
        <f t="shared" si="23"/>
        <v>72.643230620495459</v>
      </c>
      <c r="N157" s="739">
        <f t="shared" si="23"/>
        <v>75.933966741248867</v>
      </c>
      <c r="O157" s="739">
        <f t="shared" si="23"/>
        <v>79.371351386816798</v>
      </c>
      <c r="P157" s="739">
        <f t="shared" si="23"/>
        <v>82.962389103868503</v>
      </c>
      <c r="Q157" s="739">
        <f t="shared" si="23"/>
        <v>86.714441095674843</v>
      </c>
      <c r="R157" s="739">
        <f t="shared" si="23"/>
        <v>90.635244352443465</v>
      </c>
      <c r="S157" s="739">
        <f t="shared" si="23"/>
        <v>93.183148041844518</v>
      </c>
      <c r="T157" s="739">
        <f t="shared" si="23"/>
        <v>95.842589982160845</v>
      </c>
      <c r="U157" s="739">
        <f t="shared" si="23"/>
        <v>98.619719810650381</v>
      </c>
      <c r="V157" s="739">
        <f t="shared" si="23"/>
        <v>101.52104789131383</v>
      </c>
      <c r="W157" s="739">
        <f t="shared" si="23"/>
        <v>104.55346676872588</v>
      </c>
    </row>
    <row r="158" spans="1:23" hidden="1" x14ac:dyDescent="0.3">
      <c r="A158" s="36"/>
      <c r="B158" s="734" t="s">
        <v>15</v>
      </c>
      <c r="C158" s="737" t="s">
        <v>79</v>
      </c>
      <c r="D158" s="739">
        <f>'Paramètres et Résultats'!$AF$29</f>
        <v>27.000270002700024</v>
      </c>
      <c r="E158" s="739">
        <f>D158</f>
        <v>27.000270002700024</v>
      </c>
      <c r="F158" s="739">
        <f t="shared" ref="F158:W158" si="24">E158</f>
        <v>27.000270002700024</v>
      </c>
      <c r="G158" s="739">
        <f t="shared" si="24"/>
        <v>27.000270002700024</v>
      </c>
      <c r="H158" s="739">
        <f t="shared" si="24"/>
        <v>27.000270002700024</v>
      </c>
      <c r="I158" s="739">
        <f t="shared" si="24"/>
        <v>27.000270002700024</v>
      </c>
      <c r="J158" s="739">
        <f t="shared" si="24"/>
        <v>27.000270002700024</v>
      </c>
      <c r="K158" s="739">
        <f t="shared" si="24"/>
        <v>27.000270002700024</v>
      </c>
      <c r="L158" s="739">
        <f t="shared" si="24"/>
        <v>27.000270002700024</v>
      </c>
      <c r="M158" s="739">
        <f t="shared" si="24"/>
        <v>27.000270002700024</v>
      </c>
      <c r="N158" s="739">
        <f t="shared" si="24"/>
        <v>27.000270002700024</v>
      </c>
      <c r="O158" s="739">
        <f t="shared" si="24"/>
        <v>27.000270002700024</v>
      </c>
      <c r="P158" s="739">
        <f t="shared" si="24"/>
        <v>27.000270002700024</v>
      </c>
      <c r="Q158" s="739">
        <f t="shared" si="24"/>
        <v>27.000270002700024</v>
      </c>
      <c r="R158" s="739">
        <f t="shared" si="24"/>
        <v>27.000270002700024</v>
      </c>
      <c r="S158" s="739">
        <f t="shared" si="24"/>
        <v>27.000270002700024</v>
      </c>
      <c r="T158" s="739">
        <f t="shared" si="24"/>
        <v>27.000270002700024</v>
      </c>
      <c r="U158" s="739">
        <f t="shared" si="24"/>
        <v>27.000270002700024</v>
      </c>
      <c r="V158" s="739">
        <f t="shared" si="24"/>
        <v>27.000270002700024</v>
      </c>
      <c r="W158" s="739">
        <f t="shared" si="24"/>
        <v>27.000270002700024</v>
      </c>
    </row>
    <row r="159" spans="1:23" hidden="1" x14ac:dyDescent="0.3">
      <c r="A159" s="36"/>
      <c r="B159" s="734" t="s">
        <v>15</v>
      </c>
      <c r="C159" s="738" t="s">
        <v>239</v>
      </c>
      <c r="D159" s="739">
        <f>'Paramètres et Résultats'!$AF$29</f>
        <v>27.000270002700024</v>
      </c>
      <c r="E159" s="739">
        <f ca="1">VLOOKUP(E$150,$C$70:$K$108,HLOOKUP($B159,$C$70:$K$108,2,FALSE),FALSE)</f>
        <v>28.350283502835026</v>
      </c>
      <c r="F159" s="739">
        <f t="shared" ref="F159:W159" ca="1" si="25">VLOOKUP(F$150,$C$70:$K$108,HLOOKUP($B159,$C$70:$K$108,2,FALSE),FALSE)</f>
        <v>29.76779767797678</v>
      </c>
      <c r="G159" s="739">
        <f t="shared" ca="1" si="25"/>
        <v>31.25618756187562</v>
      </c>
      <c r="H159" s="739">
        <f t="shared" ca="1" si="25"/>
        <v>32.818996939969402</v>
      </c>
      <c r="I159" s="739">
        <f t="shared" ca="1" si="25"/>
        <v>34.459946786967876</v>
      </c>
      <c r="J159" s="739">
        <f t="shared" ca="1" si="25"/>
        <v>36.182944126316272</v>
      </c>
      <c r="K159" s="739">
        <f t="shared" ca="1" si="25"/>
        <v>37.992091332632086</v>
      </c>
      <c r="L159" s="739">
        <f t="shared" ca="1" si="25"/>
        <v>39.891695899263695</v>
      </c>
      <c r="M159" s="739">
        <f t="shared" ca="1" si="25"/>
        <v>41.886280694226883</v>
      </c>
      <c r="N159" s="739">
        <f t="shared" ca="1" si="25"/>
        <v>43.980594728938229</v>
      </c>
      <c r="O159" s="739">
        <f t="shared" ca="1" si="25"/>
        <v>46.179624465385139</v>
      </c>
      <c r="P159" s="739">
        <f t="shared" ca="1" si="25"/>
        <v>48.488605688654395</v>
      </c>
      <c r="Q159" s="739">
        <f t="shared" ca="1" si="25"/>
        <v>50.913035973087119</v>
      </c>
      <c r="R159" s="739">
        <f t="shared" ca="1" si="25"/>
        <v>53.458687771741481</v>
      </c>
      <c r="S159" s="739">
        <f t="shared" ca="1" si="25"/>
        <v>56.131622160328554</v>
      </c>
      <c r="T159" s="739">
        <f t="shared" ca="1" si="25"/>
        <v>58.938203268344985</v>
      </c>
      <c r="U159" s="739">
        <f t="shared" ca="1" si="25"/>
        <v>61.885113431762235</v>
      </c>
      <c r="V159" s="739">
        <f t="shared" ca="1" si="25"/>
        <v>64.979369103350351</v>
      </c>
      <c r="W159" s="739">
        <f t="shared" ca="1" si="25"/>
        <v>68.228337558517865</v>
      </c>
    </row>
    <row r="160" spans="1:23" hidden="1" x14ac:dyDescent="0.3">
      <c r="A160" s="36"/>
      <c r="B160" s="734" t="s">
        <v>128</v>
      </c>
      <c r="C160" s="734" t="s">
        <v>418</v>
      </c>
      <c r="D160" s="739">
        <f>'Paramètres et Résultats'!$AF$30</f>
        <v>47.300000000000004</v>
      </c>
      <c r="E160" s="739">
        <f t="shared" ref="E160:W160" si="26">D160*X237/W237</f>
        <v>53.991483035500409</v>
      </c>
      <c r="F160" s="739">
        <f t="shared" si="26"/>
        <v>61.062139575492282</v>
      </c>
      <c r="G160" s="739">
        <f t="shared" si="26"/>
        <v>69.536369886853933</v>
      </c>
      <c r="H160" s="739">
        <f t="shared" si="26"/>
        <v>79.694502896772249</v>
      </c>
      <c r="I160" s="739">
        <f t="shared" si="26"/>
        <v>82.23049789211332</v>
      </c>
      <c r="J160" s="739">
        <f t="shared" si="26"/>
        <v>84.87793500670044</v>
      </c>
      <c r="K160" s="739">
        <f t="shared" si="26"/>
        <v>87.642063182458187</v>
      </c>
      <c r="L160" s="739">
        <f t="shared" si="26"/>
        <v>90.528395376393334</v>
      </c>
      <c r="M160" s="739">
        <f t="shared" si="26"/>
        <v>93.54272258794208</v>
      </c>
      <c r="N160" s="739">
        <f t="shared" si="26"/>
        <v>96.691128662785459</v>
      </c>
      <c r="O160" s="739">
        <f t="shared" si="26"/>
        <v>99.98000591734511</v>
      </c>
      <c r="P160" s="739">
        <f t="shared" si="26"/>
        <v>103.41607163073444</v>
      </c>
      <c r="Q160" s="739">
        <f t="shared" si="26"/>
        <v>107.00638545365609</v>
      </c>
      <c r="R160" s="739">
        <f t="shared" si="26"/>
        <v>110.75836778660936</v>
      </c>
      <c r="S160" s="739">
        <f t="shared" si="26"/>
        <v>113.20221586544528</v>
      </c>
      <c r="T160" s="739">
        <f t="shared" si="26"/>
        <v>115.7532796174314</v>
      </c>
      <c r="U160" s="739">
        <f t="shared" si="26"/>
        <v>118.41747433382737</v>
      </c>
      <c r="V160" s="739">
        <f t="shared" si="26"/>
        <v>121.20106234034324</v>
      </c>
      <c r="W160" s="739">
        <f t="shared" si="26"/>
        <v>124.11067363732637</v>
      </c>
    </row>
    <row r="161" spans="1:23" hidden="1" x14ac:dyDescent="0.3">
      <c r="A161" s="36"/>
      <c r="B161" s="734" t="s">
        <v>128</v>
      </c>
      <c r="C161" s="737" t="s">
        <v>79</v>
      </c>
      <c r="D161" s="739">
        <f>'Paramètres et Résultats'!$AF$30</f>
        <v>47.300000000000004</v>
      </c>
      <c r="E161" s="739">
        <f>D161</f>
        <v>47.300000000000004</v>
      </c>
      <c r="F161" s="739">
        <f t="shared" ref="F161:W161" si="27">E161</f>
        <v>47.300000000000004</v>
      </c>
      <c r="G161" s="739">
        <f t="shared" si="27"/>
        <v>47.300000000000004</v>
      </c>
      <c r="H161" s="739">
        <f t="shared" si="27"/>
        <v>47.300000000000004</v>
      </c>
      <c r="I161" s="739">
        <f t="shared" si="27"/>
        <v>47.300000000000004</v>
      </c>
      <c r="J161" s="739">
        <f t="shared" si="27"/>
        <v>47.300000000000004</v>
      </c>
      <c r="K161" s="739">
        <f t="shared" si="27"/>
        <v>47.300000000000004</v>
      </c>
      <c r="L161" s="739">
        <f t="shared" si="27"/>
        <v>47.300000000000004</v>
      </c>
      <c r="M161" s="739">
        <f t="shared" si="27"/>
        <v>47.300000000000004</v>
      </c>
      <c r="N161" s="739">
        <f t="shared" si="27"/>
        <v>47.300000000000004</v>
      </c>
      <c r="O161" s="739">
        <f t="shared" si="27"/>
        <v>47.300000000000004</v>
      </c>
      <c r="P161" s="739">
        <f t="shared" si="27"/>
        <v>47.300000000000004</v>
      </c>
      <c r="Q161" s="739">
        <f t="shared" si="27"/>
        <v>47.300000000000004</v>
      </c>
      <c r="R161" s="739">
        <f t="shared" si="27"/>
        <v>47.300000000000004</v>
      </c>
      <c r="S161" s="739">
        <f t="shared" si="27"/>
        <v>47.300000000000004</v>
      </c>
      <c r="T161" s="739">
        <f t="shared" si="27"/>
        <v>47.300000000000004</v>
      </c>
      <c r="U161" s="739">
        <f t="shared" si="27"/>
        <v>47.300000000000004</v>
      </c>
      <c r="V161" s="739">
        <f t="shared" si="27"/>
        <v>47.300000000000004</v>
      </c>
      <c r="W161" s="739">
        <f t="shared" si="27"/>
        <v>47.300000000000004</v>
      </c>
    </row>
    <row r="162" spans="1:23" hidden="1" x14ac:dyDescent="0.3">
      <c r="A162" s="36"/>
      <c r="B162" s="734" t="s">
        <v>128</v>
      </c>
      <c r="C162" s="738" t="s">
        <v>239</v>
      </c>
      <c r="D162" s="739">
        <f>'Paramètres et Résultats'!$AF$30</f>
        <v>47.300000000000004</v>
      </c>
      <c r="E162" s="739">
        <f ca="1">VLOOKUP(E$150,$C$70:$K$108,HLOOKUP($B162,$C$70:$K$108,2,FALSE),FALSE)</f>
        <v>49.665000000000006</v>
      </c>
      <c r="F162" s="739">
        <f t="shared" ref="F162:W162" ca="1" si="28">VLOOKUP(F$150,$C$70:$K$108,HLOOKUP($B162,$C$70:$K$108,2,FALSE),FALSE)</f>
        <v>52.148250000000012</v>
      </c>
      <c r="G162" s="739">
        <f t="shared" ca="1" si="28"/>
        <v>54.755662500000014</v>
      </c>
      <c r="H162" s="739">
        <f t="shared" ca="1" si="28"/>
        <v>57.493445625000014</v>
      </c>
      <c r="I162" s="739">
        <f t="shared" ca="1" si="28"/>
        <v>60.368117906250021</v>
      </c>
      <c r="J162" s="739">
        <f t="shared" ca="1" si="28"/>
        <v>63.386523801562525</v>
      </c>
      <c r="K162" s="739">
        <f t="shared" ca="1" si="28"/>
        <v>66.555849991640656</v>
      </c>
      <c r="L162" s="739">
        <f t="shared" ca="1" si="28"/>
        <v>69.883642491222687</v>
      </c>
      <c r="M162" s="739">
        <f t="shared" ca="1" si="28"/>
        <v>73.377824615783823</v>
      </c>
      <c r="N162" s="739">
        <f t="shared" ca="1" si="28"/>
        <v>77.046715846573022</v>
      </c>
      <c r="O162" s="739">
        <f t="shared" ca="1" si="28"/>
        <v>80.899051638901682</v>
      </c>
      <c r="P162" s="739">
        <f t="shared" ca="1" si="28"/>
        <v>84.944004220846764</v>
      </c>
      <c r="Q162" s="739">
        <f t="shared" ca="1" si="28"/>
        <v>89.191204431889105</v>
      </c>
      <c r="R162" s="739">
        <f t="shared" ca="1" si="28"/>
        <v>93.650764653483563</v>
      </c>
      <c r="S162" s="739">
        <f t="shared" ca="1" si="28"/>
        <v>98.333302886157739</v>
      </c>
      <c r="T162" s="739">
        <f t="shared" ca="1" si="28"/>
        <v>103.24996803046562</v>
      </c>
      <c r="U162" s="739">
        <f t="shared" ca="1" si="28"/>
        <v>108.4124664319889</v>
      </c>
      <c r="V162" s="739">
        <f t="shared" ca="1" si="28"/>
        <v>113.83308975358835</v>
      </c>
      <c r="W162" s="739">
        <f t="shared" ca="1" si="28"/>
        <v>119.52474424126778</v>
      </c>
    </row>
    <row r="163" spans="1:23" hidden="1" x14ac:dyDescent="0.3">
      <c r="A163" s="36"/>
      <c r="B163" s="734" t="s">
        <v>18</v>
      </c>
      <c r="C163" s="734" t="s">
        <v>418</v>
      </c>
      <c r="D163" s="739">
        <f>'Paramètres et Résultats'!$AF$31</f>
        <v>95.311626666875682</v>
      </c>
      <c r="E163" s="739">
        <f t="shared" ref="E163:W163" si="29">D163*X241/W241</f>
        <v>103.17529464616072</v>
      </c>
      <c r="F163" s="739">
        <f t="shared" si="29"/>
        <v>109.22235215130522</v>
      </c>
      <c r="G163" s="739">
        <f t="shared" si="29"/>
        <v>116.46581133052293</v>
      </c>
      <c r="H163" s="739">
        <f t="shared" si="29"/>
        <v>125.14377180381695</v>
      </c>
      <c r="I163" s="739">
        <f t="shared" si="29"/>
        <v>127.29280963984768</v>
      </c>
      <c r="J163" s="739">
        <f t="shared" si="29"/>
        <v>129.53510794656634</v>
      </c>
      <c r="K163" s="739">
        <f t="shared" si="29"/>
        <v>131.87500311607388</v>
      </c>
      <c r="L163" s="739">
        <f t="shared" si="29"/>
        <v>134.31704715290377</v>
      </c>
      <c r="M163" s="739">
        <f t="shared" si="29"/>
        <v>136.86601902532766</v>
      </c>
      <c r="N163" s="739">
        <f t="shared" si="29"/>
        <v>139.52693664087928</v>
      </c>
      <c r="O163" s="739">
        <f t="shared" si="29"/>
        <v>142.30506948148337</v>
      </c>
      <c r="P163" s="739">
        <f t="shared" si="29"/>
        <v>145.20595193562272</v>
      </c>
      <c r="Q163" s="739">
        <f t="shared" si="29"/>
        <v>148.23539736714221</v>
      </c>
      <c r="R163" s="739">
        <f t="shared" si="29"/>
        <v>151.39951296258292</v>
      </c>
      <c r="S163" s="739">
        <f t="shared" si="29"/>
        <v>153.40903083648817</v>
      </c>
      <c r="T163" s="739">
        <f t="shared" si="29"/>
        <v>155.50459787216562</v>
      </c>
      <c r="U163" s="739">
        <f t="shared" si="29"/>
        <v>157.69092552551538</v>
      </c>
      <c r="V163" s="739">
        <f t="shared" si="29"/>
        <v>159.97300117198807</v>
      </c>
      <c r="W163" s="739">
        <f t="shared" si="29"/>
        <v>162.3561045109071</v>
      </c>
    </row>
    <row r="164" spans="1:23" hidden="1" x14ac:dyDescent="0.3">
      <c r="A164" s="36"/>
      <c r="B164" s="734" t="s">
        <v>18</v>
      </c>
      <c r="C164" s="737" t="s">
        <v>79</v>
      </c>
      <c r="D164" s="739">
        <f>'Paramètres et Résultats'!$AF$31</f>
        <v>95.311626666875682</v>
      </c>
      <c r="E164" s="739">
        <f>D164</f>
        <v>95.311626666875682</v>
      </c>
      <c r="F164" s="739">
        <f t="shared" ref="F164:W164" si="30">E164</f>
        <v>95.311626666875682</v>
      </c>
      <c r="G164" s="739">
        <f t="shared" si="30"/>
        <v>95.311626666875682</v>
      </c>
      <c r="H164" s="739">
        <f t="shared" si="30"/>
        <v>95.311626666875682</v>
      </c>
      <c r="I164" s="739">
        <f t="shared" si="30"/>
        <v>95.311626666875682</v>
      </c>
      <c r="J164" s="739">
        <f t="shared" si="30"/>
        <v>95.311626666875682</v>
      </c>
      <c r="K164" s="739">
        <f t="shared" si="30"/>
        <v>95.311626666875682</v>
      </c>
      <c r="L164" s="739">
        <f t="shared" si="30"/>
        <v>95.311626666875682</v>
      </c>
      <c r="M164" s="739">
        <f t="shared" si="30"/>
        <v>95.311626666875682</v>
      </c>
      <c r="N164" s="739">
        <f t="shared" si="30"/>
        <v>95.311626666875682</v>
      </c>
      <c r="O164" s="739">
        <f t="shared" si="30"/>
        <v>95.311626666875682</v>
      </c>
      <c r="P164" s="739">
        <f t="shared" si="30"/>
        <v>95.311626666875682</v>
      </c>
      <c r="Q164" s="739">
        <f t="shared" si="30"/>
        <v>95.311626666875682</v>
      </c>
      <c r="R164" s="739">
        <f t="shared" si="30"/>
        <v>95.311626666875682</v>
      </c>
      <c r="S164" s="739">
        <f t="shared" si="30"/>
        <v>95.311626666875682</v>
      </c>
      <c r="T164" s="739">
        <f t="shared" si="30"/>
        <v>95.311626666875682</v>
      </c>
      <c r="U164" s="739">
        <f t="shared" si="30"/>
        <v>95.311626666875682</v>
      </c>
      <c r="V164" s="739">
        <f t="shared" si="30"/>
        <v>95.311626666875682</v>
      </c>
      <c r="W164" s="739">
        <f t="shared" si="30"/>
        <v>95.311626666875682</v>
      </c>
    </row>
    <row r="165" spans="1:23" hidden="1" x14ac:dyDescent="0.3">
      <c r="A165" s="36"/>
      <c r="B165" s="734" t="s">
        <v>18</v>
      </c>
      <c r="C165" s="738" t="s">
        <v>239</v>
      </c>
      <c r="D165" s="739">
        <f>'Paramètres et Résultats'!$AF$31</f>
        <v>95.311626666875682</v>
      </c>
      <c r="E165" s="739">
        <f ca="1">VLOOKUP(E$150,$C$70:$K$108,HLOOKUP($B165,$C$70:$K$108,2,FALSE),FALSE)</f>
        <v>100.07720800021947</v>
      </c>
      <c r="F165" s="739">
        <f t="shared" ref="F165:W165" ca="1" si="31">VLOOKUP(F$150,$C$70:$K$108,HLOOKUP($B165,$C$70:$K$108,2,FALSE),FALSE)</f>
        <v>105.08106840023045</v>
      </c>
      <c r="G165" s="739">
        <f t="shared" ca="1" si="31"/>
        <v>110.33512182024198</v>
      </c>
      <c r="H165" s="739">
        <f t="shared" ca="1" si="31"/>
        <v>115.85187791125408</v>
      </c>
      <c r="I165" s="739">
        <f t="shared" ca="1" si="31"/>
        <v>121.64447180681678</v>
      </c>
      <c r="J165" s="739">
        <f t="shared" ca="1" si="31"/>
        <v>127.72669539715763</v>
      </c>
      <c r="K165" s="739">
        <f t="shared" ca="1" si="31"/>
        <v>134.11303016701552</v>
      </c>
      <c r="L165" s="739">
        <f t="shared" ca="1" si="31"/>
        <v>140.81868167536629</v>
      </c>
      <c r="M165" s="739">
        <f t="shared" ca="1" si="31"/>
        <v>147.85961575913461</v>
      </c>
      <c r="N165" s="739">
        <f t="shared" ca="1" si="31"/>
        <v>155.25259654709134</v>
      </c>
      <c r="O165" s="739">
        <f t="shared" ca="1" si="31"/>
        <v>163.01522637444592</v>
      </c>
      <c r="P165" s="739">
        <f t="shared" ca="1" si="31"/>
        <v>171.16598769316823</v>
      </c>
      <c r="Q165" s="739">
        <f t="shared" ca="1" si="31"/>
        <v>179.72428707782666</v>
      </c>
      <c r="R165" s="739">
        <f t="shared" ca="1" si="31"/>
        <v>188.710501431718</v>
      </c>
      <c r="S165" s="739">
        <f t="shared" ca="1" si="31"/>
        <v>198.14602650330391</v>
      </c>
      <c r="T165" s="739">
        <f t="shared" ca="1" si="31"/>
        <v>208.05332782846912</v>
      </c>
      <c r="U165" s="739">
        <f t="shared" ca="1" si="31"/>
        <v>218.45599421989257</v>
      </c>
      <c r="V165" s="739">
        <f t="shared" ca="1" si="31"/>
        <v>229.37879393088721</v>
      </c>
      <c r="W165" s="739">
        <f t="shared" ca="1" si="31"/>
        <v>240.84773362743158</v>
      </c>
    </row>
    <row r="166" spans="1:23" hidden="1" x14ac:dyDescent="0.3">
      <c r="A166" s="36"/>
      <c r="B166" s="734" t="s">
        <v>129</v>
      </c>
      <c r="C166" s="734" t="s">
        <v>418</v>
      </c>
      <c r="D166" s="739">
        <f>'Paramètres et Résultats'!$AF$32</f>
        <v>17</v>
      </c>
      <c r="E166" s="739">
        <f ca="1">D166*E154/D154</f>
        <v>17.697916044860275</v>
      </c>
      <c r="F166" s="739">
        <f t="shared" ref="F166:W166" ca="1" si="32">E166*F154/E154</f>
        <v>18.62923129381592</v>
      </c>
      <c r="G166" s="739">
        <f t="shared" ca="1" si="32"/>
        <v>19.713268991721488</v>
      </c>
      <c r="H166" s="739">
        <f t="shared" ca="1" si="32"/>
        <v>20.982771259596586</v>
      </c>
      <c r="I166" s="739">
        <f t="shared" ca="1" si="32"/>
        <v>21.714531750010277</v>
      </c>
      <c r="J166" s="739">
        <f t="shared" ca="1" si="32"/>
        <v>22.480451323399436</v>
      </c>
      <c r="K166" s="739">
        <f t="shared" ca="1" si="32"/>
        <v>23.282218257531461</v>
      </c>
      <c r="L166" s="739">
        <f t="shared" ca="1" si="32"/>
        <v>24.121608686475213</v>
      </c>
      <c r="M166" s="739">
        <f t="shared" ca="1" si="32"/>
        <v>25.000491369010806</v>
      </c>
      <c r="N166" s="739">
        <f t="shared" ca="1" si="32"/>
        <v>25.920832724147921</v>
      </c>
      <c r="O166" s="739">
        <f t="shared" ca="1" si="32"/>
        <v>26.884702149051478</v>
      </c>
      <c r="P166" s="739">
        <f t="shared" ca="1" si="32"/>
        <v>27.894277635563007</v>
      </c>
      <c r="Q166" s="739">
        <f t="shared" ca="1" si="32"/>
        <v>28.951851702447737</v>
      </c>
      <c r="R166" s="739">
        <f t="shared" ca="1" si="32"/>
        <v>30.059837661494313</v>
      </c>
      <c r="S166" s="739">
        <f t="shared" ca="1" si="32"/>
        <v>30.788562848244691</v>
      </c>
      <c r="T166" s="739">
        <f t="shared" ca="1" si="32"/>
        <v>31.552570772254207</v>
      </c>
      <c r="U166" s="739">
        <f t="shared" ca="1" si="32"/>
        <v>32.35388358032332</v>
      </c>
      <c r="V166" s="739">
        <f t="shared" ca="1" si="32"/>
        <v>33.194643272655334</v>
      </c>
      <c r="W166" s="739">
        <f t="shared" ca="1" si="32"/>
        <v>34.077118848796665</v>
      </c>
    </row>
    <row r="167" spans="1:23" hidden="1" x14ac:dyDescent="0.3">
      <c r="A167" s="36"/>
      <c r="B167" s="734" t="s">
        <v>129</v>
      </c>
      <c r="C167" s="737" t="s">
        <v>79</v>
      </c>
      <c r="D167" s="739">
        <f>'Paramètres et Résultats'!$AF$32</f>
        <v>17</v>
      </c>
      <c r="E167" s="739">
        <f>D167</f>
        <v>17</v>
      </c>
      <c r="F167" s="739">
        <f t="shared" ref="F167:W167" si="33">E167</f>
        <v>17</v>
      </c>
      <c r="G167" s="739">
        <f t="shared" si="33"/>
        <v>17</v>
      </c>
      <c r="H167" s="739">
        <f t="shared" si="33"/>
        <v>17</v>
      </c>
      <c r="I167" s="739">
        <f t="shared" si="33"/>
        <v>17</v>
      </c>
      <c r="J167" s="739">
        <f t="shared" si="33"/>
        <v>17</v>
      </c>
      <c r="K167" s="739">
        <f t="shared" si="33"/>
        <v>17</v>
      </c>
      <c r="L167" s="739">
        <f t="shared" si="33"/>
        <v>17</v>
      </c>
      <c r="M167" s="739">
        <f t="shared" si="33"/>
        <v>17</v>
      </c>
      <c r="N167" s="739">
        <f t="shared" si="33"/>
        <v>17</v>
      </c>
      <c r="O167" s="739">
        <f t="shared" si="33"/>
        <v>17</v>
      </c>
      <c r="P167" s="739">
        <f t="shared" si="33"/>
        <v>17</v>
      </c>
      <c r="Q167" s="739">
        <f t="shared" si="33"/>
        <v>17</v>
      </c>
      <c r="R167" s="739">
        <f t="shared" si="33"/>
        <v>17</v>
      </c>
      <c r="S167" s="739">
        <f t="shared" si="33"/>
        <v>17</v>
      </c>
      <c r="T167" s="739">
        <f t="shared" si="33"/>
        <v>17</v>
      </c>
      <c r="U167" s="739">
        <f t="shared" si="33"/>
        <v>17</v>
      </c>
      <c r="V167" s="739">
        <f t="shared" si="33"/>
        <v>17</v>
      </c>
      <c r="W167" s="739">
        <f t="shared" si="33"/>
        <v>17</v>
      </c>
    </row>
    <row r="168" spans="1:23" hidden="1" x14ac:dyDescent="0.3">
      <c r="A168" s="36"/>
      <c r="B168" s="734" t="s">
        <v>129</v>
      </c>
      <c r="C168" s="738" t="s">
        <v>239</v>
      </c>
      <c r="D168" s="739">
        <f>'Paramètres et Résultats'!$AF$32</f>
        <v>17</v>
      </c>
      <c r="E168" s="739">
        <f ca="1">VLOOKUP(E$150,$C$70:$K$108,HLOOKUP($B168,$C$70:$K$108,2,FALSE),FALSE)</f>
        <v>17.850000000000001</v>
      </c>
      <c r="F168" s="739">
        <f t="shared" ref="F168:W168" ca="1" si="34">VLOOKUP(F$150,$C$70:$K$108,HLOOKUP($B168,$C$70:$K$108,2,FALSE),FALSE)</f>
        <v>18.742500000000003</v>
      </c>
      <c r="G168" s="739">
        <f t="shared" ca="1" si="34"/>
        <v>19.679625000000005</v>
      </c>
      <c r="H168" s="739">
        <f t="shared" ca="1" si="34"/>
        <v>20.663606250000004</v>
      </c>
      <c r="I168" s="739">
        <f t="shared" ca="1" si="34"/>
        <v>21.696786562500005</v>
      </c>
      <c r="J168" s="739">
        <f t="shared" ca="1" si="34"/>
        <v>22.781625890625005</v>
      </c>
      <c r="K168" s="739">
        <f t="shared" ca="1" si="34"/>
        <v>23.920707185156257</v>
      </c>
      <c r="L168" s="739">
        <f t="shared" ca="1" si="34"/>
        <v>25.11674254441407</v>
      </c>
      <c r="M168" s="739">
        <f t="shared" ca="1" si="34"/>
        <v>26.372579671634774</v>
      </c>
      <c r="N168" s="739">
        <f t="shared" ca="1" si="34"/>
        <v>27.691208655216514</v>
      </c>
      <c r="O168" s="739">
        <f t="shared" ca="1" si="34"/>
        <v>29.075769087977342</v>
      </c>
      <c r="P168" s="739">
        <f t="shared" ca="1" si="34"/>
        <v>30.52955754237621</v>
      </c>
      <c r="Q168" s="739">
        <f t="shared" ca="1" si="34"/>
        <v>32.056035419495025</v>
      </c>
      <c r="R168" s="739">
        <f t="shared" ca="1" si="34"/>
        <v>33.658837190469775</v>
      </c>
      <c r="S168" s="739">
        <f t="shared" ca="1" si="34"/>
        <v>35.341779049993264</v>
      </c>
      <c r="T168" s="739">
        <f t="shared" ca="1" si="34"/>
        <v>37.108868002492926</v>
      </c>
      <c r="U168" s="739">
        <f t="shared" ca="1" si="34"/>
        <v>38.964311402617575</v>
      </c>
      <c r="V168" s="739">
        <f t="shared" ca="1" si="34"/>
        <v>40.912526972748452</v>
      </c>
      <c r="W168" s="739">
        <f t="shared" ca="1" si="34"/>
        <v>42.958153321385879</v>
      </c>
    </row>
    <row r="169" spans="1:23" hidden="1" x14ac:dyDescent="0.3">
      <c r="A169" s="36"/>
      <c r="B169" s="734" t="s">
        <v>130</v>
      </c>
      <c r="C169" s="734" t="s">
        <v>418</v>
      </c>
      <c r="D169" s="739">
        <f ca="1">'Paramètres et Résultats'!$AF$33</f>
        <v>43.040935672514621</v>
      </c>
      <c r="E169" s="739">
        <f ca="1">D169*E154/D154</f>
        <v>44.807933295552672</v>
      </c>
      <c r="F169" s="739">
        <f t="shared" ref="F169:W169" ca="1" si="35">E169*F154/E154</f>
        <v>47.165855632089844</v>
      </c>
      <c r="G169" s="739">
        <f t="shared" ca="1" si="35"/>
        <v>49.91044368045069</v>
      </c>
      <c r="H169" s="739">
        <f t="shared" ca="1" si="35"/>
        <v>53.124594589140301</v>
      </c>
      <c r="I169" s="739">
        <f t="shared" ca="1" si="35"/>
        <v>54.977280247704037</v>
      </c>
      <c r="J169" s="739">
        <f t="shared" ca="1" si="35"/>
        <v>56.916450547031253</v>
      </c>
      <c r="K169" s="739">
        <f t="shared" ca="1" si="35"/>
        <v>58.946379902109243</v>
      </c>
      <c r="L169" s="739">
        <f t="shared" ca="1" si="35"/>
        <v>61.071565164244092</v>
      </c>
      <c r="M169" s="739">
        <f t="shared" ca="1" si="35"/>
        <v>63.296737693814769</v>
      </c>
      <c r="N169" s="739">
        <f t="shared" ca="1" si="35"/>
        <v>65.626876109297811</v>
      </c>
      <c r="O169" s="739">
        <f t="shared" ca="1" si="35"/>
        <v>68.067219751296506</v>
      </c>
      <c r="P169" s="739">
        <f t="shared" ca="1" si="35"/>
        <v>70.623282902560646</v>
      </c>
      <c r="Q169" s="739">
        <f t="shared" ca="1" si="35"/>
        <v>73.300869807366837</v>
      </c>
      <c r="R169" s="739">
        <f t="shared" ca="1" si="35"/>
        <v>76.106090536153502</v>
      </c>
      <c r="S169" s="739">
        <f t="shared" ca="1" si="35"/>
        <v>77.951091352969044</v>
      </c>
      <c r="T169" s="739">
        <f t="shared" ca="1" si="35"/>
        <v>79.885421700650511</v>
      </c>
      <c r="U169" s="739">
        <f t="shared" ca="1" si="35"/>
        <v>81.914201290395482</v>
      </c>
      <c r="V169" s="739">
        <f t="shared" ca="1" si="35"/>
        <v>84.042853280613443</v>
      </c>
      <c r="W169" s="739">
        <f t="shared" ca="1" si="35"/>
        <v>86.27712236915842</v>
      </c>
    </row>
    <row r="170" spans="1:23" hidden="1" x14ac:dyDescent="0.3">
      <c r="A170" s="36"/>
      <c r="B170" s="734" t="s">
        <v>130</v>
      </c>
      <c r="C170" s="737" t="s">
        <v>79</v>
      </c>
      <c r="D170" s="739">
        <f ca="1">'Paramètres et Résultats'!$AF$33</f>
        <v>43.040935672514621</v>
      </c>
      <c r="E170" s="739">
        <f ca="1">D170</f>
        <v>43.040935672514621</v>
      </c>
      <c r="F170" s="739">
        <f t="shared" ref="F170:W170" ca="1" si="36">E170</f>
        <v>43.040935672514621</v>
      </c>
      <c r="G170" s="739">
        <f t="shared" ca="1" si="36"/>
        <v>43.040935672514621</v>
      </c>
      <c r="H170" s="739">
        <f t="shared" ca="1" si="36"/>
        <v>43.040935672514621</v>
      </c>
      <c r="I170" s="739">
        <f t="shared" ca="1" si="36"/>
        <v>43.040935672514621</v>
      </c>
      <c r="J170" s="739">
        <f t="shared" ca="1" si="36"/>
        <v>43.040935672514621</v>
      </c>
      <c r="K170" s="739">
        <f t="shared" ca="1" si="36"/>
        <v>43.040935672514621</v>
      </c>
      <c r="L170" s="739">
        <f t="shared" ca="1" si="36"/>
        <v>43.040935672514621</v>
      </c>
      <c r="M170" s="739">
        <f t="shared" ca="1" si="36"/>
        <v>43.040935672514621</v>
      </c>
      <c r="N170" s="739">
        <f t="shared" ca="1" si="36"/>
        <v>43.040935672514621</v>
      </c>
      <c r="O170" s="739">
        <f t="shared" ca="1" si="36"/>
        <v>43.040935672514621</v>
      </c>
      <c r="P170" s="739">
        <f t="shared" ca="1" si="36"/>
        <v>43.040935672514621</v>
      </c>
      <c r="Q170" s="739">
        <f t="shared" ca="1" si="36"/>
        <v>43.040935672514621</v>
      </c>
      <c r="R170" s="739">
        <f t="shared" ca="1" si="36"/>
        <v>43.040935672514621</v>
      </c>
      <c r="S170" s="739">
        <f t="shared" ca="1" si="36"/>
        <v>43.040935672514621</v>
      </c>
      <c r="T170" s="739">
        <f t="shared" ca="1" si="36"/>
        <v>43.040935672514621</v>
      </c>
      <c r="U170" s="739">
        <f t="shared" ca="1" si="36"/>
        <v>43.040935672514621</v>
      </c>
      <c r="V170" s="739">
        <f t="shared" ca="1" si="36"/>
        <v>43.040935672514621</v>
      </c>
      <c r="W170" s="739">
        <f t="shared" ca="1" si="36"/>
        <v>43.040935672514621</v>
      </c>
    </row>
    <row r="171" spans="1:23" hidden="1" x14ac:dyDescent="0.3">
      <c r="A171" s="36"/>
      <c r="B171" s="734" t="s">
        <v>130</v>
      </c>
      <c r="C171" s="738" t="s">
        <v>239</v>
      </c>
      <c r="D171" s="739">
        <f ca="1">'Paramètres et Résultats'!$AF$33</f>
        <v>43.040935672514621</v>
      </c>
      <c r="E171" s="739">
        <f ca="1">VLOOKUP(E$150,$C$70:$K$108,HLOOKUP($B171,$C$70:$K$108,2,FALSE),FALSE)</f>
        <v>45.192982456140356</v>
      </c>
      <c r="F171" s="739">
        <f t="shared" ref="F171:W171" ca="1" si="37">VLOOKUP(F$150,$C$70:$K$108,HLOOKUP($B171,$C$70:$K$108,2,FALSE),FALSE)</f>
        <v>47.452631578947376</v>
      </c>
      <c r="G171" s="739">
        <f t="shared" ca="1" si="37"/>
        <v>49.825263157894746</v>
      </c>
      <c r="H171" s="739">
        <f t="shared" ca="1" si="37"/>
        <v>52.316526315789488</v>
      </c>
      <c r="I171" s="739">
        <f t="shared" ca="1" si="37"/>
        <v>54.932352631578965</v>
      </c>
      <c r="J171" s="739">
        <f t="shared" ca="1" si="37"/>
        <v>57.678970263157915</v>
      </c>
      <c r="K171" s="739">
        <f t="shared" ca="1" si="37"/>
        <v>60.562918776315811</v>
      </c>
      <c r="L171" s="739">
        <f t="shared" ca="1" si="37"/>
        <v>63.591064715131601</v>
      </c>
      <c r="M171" s="739">
        <f t="shared" ca="1" si="37"/>
        <v>66.77061795088818</v>
      </c>
      <c r="N171" s="739">
        <f t="shared" ca="1" si="37"/>
        <v>70.109148848432596</v>
      </c>
      <c r="O171" s="739">
        <f t="shared" ca="1" si="37"/>
        <v>73.614606290854226</v>
      </c>
      <c r="P171" s="739">
        <f t="shared" ca="1" si="37"/>
        <v>77.29533660539694</v>
      </c>
      <c r="Q171" s="739">
        <f t="shared" ca="1" si="37"/>
        <v>81.160103435666784</v>
      </c>
      <c r="R171" s="739">
        <f t="shared" ca="1" si="37"/>
        <v>85.218108607450134</v>
      </c>
      <c r="S171" s="739">
        <f t="shared" ca="1" si="37"/>
        <v>89.479014037822651</v>
      </c>
      <c r="T171" s="739">
        <f t="shared" ca="1" si="37"/>
        <v>93.952964739713792</v>
      </c>
      <c r="U171" s="739">
        <f t="shared" ca="1" si="37"/>
        <v>98.650612976699492</v>
      </c>
      <c r="V171" s="739">
        <f t="shared" ca="1" si="37"/>
        <v>103.58314362553448</v>
      </c>
      <c r="W171" s="739">
        <f t="shared" ca="1" si="37"/>
        <v>108.7623008068112</v>
      </c>
    </row>
    <row r="172" spans="1:23" hidden="1" x14ac:dyDescent="0.3">
      <c r="A172" s="36"/>
      <c r="B172" s="734" t="s">
        <v>131</v>
      </c>
      <c r="C172" s="734" t="s">
        <v>418</v>
      </c>
      <c r="D172" s="739">
        <f>'Paramètres et Résultats'!$AF$34</f>
        <v>0</v>
      </c>
      <c r="E172" s="739">
        <f ca="1">D172*E154/D154</f>
        <v>0</v>
      </c>
      <c r="F172" s="739">
        <f t="shared" ref="F172:W172" ca="1" si="38">E172*F154/E154</f>
        <v>0</v>
      </c>
      <c r="G172" s="739">
        <f t="shared" ca="1" si="38"/>
        <v>0</v>
      </c>
      <c r="H172" s="739">
        <f t="shared" ca="1" si="38"/>
        <v>0</v>
      </c>
      <c r="I172" s="739">
        <f t="shared" ca="1" si="38"/>
        <v>0</v>
      </c>
      <c r="J172" s="739">
        <f t="shared" ca="1" si="38"/>
        <v>0</v>
      </c>
      <c r="K172" s="739">
        <f t="shared" ca="1" si="38"/>
        <v>0</v>
      </c>
      <c r="L172" s="739">
        <f t="shared" ca="1" si="38"/>
        <v>0</v>
      </c>
      <c r="M172" s="739">
        <f t="shared" ca="1" si="38"/>
        <v>0</v>
      </c>
      <c r="N172" s="739">
        <f t="shared" ca="1" si="38"/>
        <v>0</v>
      </c>
      <c r="O172" s="739">
        <f t="shared" ca="1" si="38"/>
        <v>0</v>
      </c>
      <c r="P172" s="739">
        <f t="shared" ca="1" si="38"/>
        <v>0</v>
      </c>
      <c r="Q172" s="739">
        <f t="shared" ca="1" si="38"/>
        <v>0</v>
      </c>
      <c r="R172" s="739">
        <f t="shared" ca="1" si="38"/>
        <v>0</v>
      </c>
      <c r="S172" s="739">
        <f t="shared" ca="1" si="38"/>
        <v>0</v>
      </c>
      <c r="T172" s="739">
        <f t="shared" ca="1" si="38"/>
        <v>0</v>
      </c>
      <c r="U172" s="739">
        <f t="shared" ca="1" si="38"/>
        <v>0</v>
      </c>
      <c r="V172" s="739">
        <f t="shared" ca="1" si="38"/>
        <v>0</v>
      </c>
      <c r="W172" s="739">
        <f t="shared" ca="1" si="38"/>
        <v>0</v>
      </c>
    </row>
    <row r="173" spans="1:23" hidden="1" x14ac:dyDescent="0.3">
      <c r="A173" s="36"/>
      <c r="B173" s="734" t="s">
        <v>131</v>
      </c>
      <c r="C173" s="737" t="s">
        <v>79</v>
      </c>
      <c r="D173" s="739">
        <f>'Paramètres et Résultats'!$AF$34</f>
        <v>0</v>
      </c>
      <c r="E173" s="739">
        <f>D173</f>
        <v>0</v>
      </c>
      <c r="F173" s="739">
        <f t="shared" ref="F173:W173" si="39">E173</f>
        <v>0</v>
      </c>
      <c r="G173" s="739">
        <f t="shared" si="39"/>
        <v>0</v>
      </c>
      <c r="H173" s="739">
        <f t="shared" si="39"/>
        <v>0</v>
      </c>
      <c r="I173" s="739">
        <f t="shared" si="39"/>
        <v>0</v>
      </c>
      <c r="J173" s="739">
        <f t="shared" si="39"/>
        <v>0</v>
      </c>
      <c r="K173" s="739">
        <f t="shared" si="39"/>
        <v>0</v>
      </c>
      <c r="L173" s="739">
        <f t="shared" si="39"/>
        <v>0</v>
      </c>
      <c r="M173" s="739">
        <f t="shared" si="39"/>
        <v>0</v>
      </c>
      <c r="N173" s="739">
        <f t="shared" si="39"/>
        <v>0</v>
      </c>
      <c r="O173" s="739">
        <f t="shared" si="39"/>
        <v>0</v>
      </c>
      <c r="P173" s="739">
        <f t="shared" si="39"/>
        <v>0</v>
      </c>
      <c r="Q173" s="739">
        <f t="shared" si="39"/>
        <v>0</v>
      </c>
      <c r="R173" s="739">
        <f t="shared" si="39"/>
        <v>0</v>
      </c>
      <c r="S173" s="739">
        <f t="shared" si="39"/>
        <v>0</v>
      </c>
      <c r="T173" s="739">
        <f t="shared" si="39"/>
        <v>0</v>
      </c>
      <c r="U173" s="739">
        <f t="shared" si="39"/>
        <v>0</v>
      </c>
      <c r="V173" s="739">
        <f t="shared" si="39"/>
        <v>0</v>
      </c>
      <c r="W173" s="739">
        <f t="shared" si="39"/>
        <v>0</v>
      </c>
    </row>
    <row r="174" spans="1:23" hidden="1" x14ac:dyDescent="0.3">
      <c r="A174" s="36"/>
      <c r="B174" s="734" t="s">
        <v>131</v>
      </c>
      <c r="C174" s="738" t="s">
        <v>239</v>
      </c>
      <c r="D174" s="739">
        <f>'Paramètres et Résultats'!$AF$34</f>
        <v>0</v>
      </c>
      <c r="E174" s="739">
        <f ca="1">VLOOKUP(E$150,$C$70:$K$108,HLOOKUP($B174,$C$70:$K$108,2,FALSE),FALSE)</f>
        <v>0</v>
      </c>
      <c r="F174" s="739">
        <f t="shared" ref="F174:W174" ca="1" si="40">VLOOKUP(F$150,$C$70:$K$108,HLOOKUP($B174,$C$70:$K$108,2,FALSE),FALSE)</f>
        <v>0</v>
      </c>
      <c r="G174" s="739">
        <f t="shared" ca="1" si="40"/>
        <v>0</v>
      </c>
      <c r="H174" s="739">
        <f t="shared" ca="1" si="40"/>
        <v>0</v>
      </c>
      <c r="I174" s="739">
        <f t="shared" ca="1" si="40"/>
        <v>0</v>
      </c>
      <c r="J174" s="739">
        <f t="shared" ca="1" si="40"/>
        <v>0</v>
      </c>
      <c r="K174" s="739">
        <f t="shared" ca="1" si="40"/>
        <v>0</v>
      </c>
      <c r="L174" s="739">
        <f t="shared" ca="1" si="40"/>
        <v>0</v>
      </c>
      <c r="M174" s="739">
        <f t="shared" ca="1" si="40"/>
        <v>0</v>
      </c>
      <c r="N174" s="739">
        <f t="shared" ca="1" si="40"/>
        <v>0</v>
      </c>
      <c r="O174" s="739">
        <f t="shared" ca="1" si="40"/>
        <v>0</v>
      </c>
      <c r="P174" s="739">
        <f t="shared" ca="1" si="40"/>
        <v>0</v>
      </c>
      <c r="Q174" s="739">
        <f t="shared" ca="1" si="40"/>
        <v>0</v>
      </c>
      <c r="R174" s="739">
        <f t="shared" ca="1" si="40"/>
        <v>0</v>
      </c>
      <c r="S174" s="739">
        <f t="shared" ca="1" si="40"/>
        <v>0</v>
      </c>
      <c r="T174" s="739">
        <f t="shared" ca="1" si="40"/>
        <v>0</v>
      </c>
      <c r="U174" s="739">
        <f t="shared" ca="1" si="40"/>
        <v>0</v>
      </c>
      <c r="V174" s="739">
        <f t="shared" ca="1" si="40"/>
        <v>0</v>
      </c>
      <c r="W174" s="739">
        <f t="shared" ca="1" si="40"/>
        <v>0</v>
      </c>
    </row>
    <row r="175" spans="1:23" hidden="1" x14ac:dyDescent="0.3"/>
    <row r="176" spans="1:23" ht="15.5" hidden="1" x14ac:dyDescent="0.35">
      <c r="B176" s="704" t="s">
        <v>330</v>
      </c>
    </row>
    <row r="177" spans="2:37" hidden="1" x14ac:dyDescent="0.3"/>
    <row r="178" spans="2:37" hidden="1" x14ac:dyDescent="0.3">
      <c r="G178" s="690">
        <f t="shared" ref="G178:U178" si="41">H178-1</f>
        <v>2000</v>
      </c>
      <c r="H178" s="690">
        <f t="shared" si="41"/>
        <v>2001</v>
      </c>
      <c r="I178" s="690">
        <f t="shared" si="41"/>
        <v>2002</v>
      </c>
      <c r="J178" s="690">
        <f t="shared" si="41"/>
        <v>2003</v>
      </c>
      <c r="K178" s="690">
        <f t="shared" si="41"/>
        <v>2004</v>
      </c>
      <c r="L178" s="690">
        <f t="shared" si="41"/>
        <v>2005</v>
      </c>
      <c r="M178" s="690">
        <f t="shared" si="41"/>
        <v>2006</v>
      </c>
      <c r="N178" s="690">
        <f t="shared" si="41"/>
        <v>2007</v>
      </c>
      <c r="O178" s="690">
        <f t="shared" si="41"/>
        <v>2008</v>
      </c>
      <c r="P178" s="690">
        <f t="shared" si="41"/>
        <v>2009</v>
      </c>
      <c r="Q178" s="690">
        <f t="shared" si="41"/>
        <v>2010</v>
      </c>
      <c r="R178" s="690">
        <f t="shared" si="41"/>
        <v>2011</v>
      </c>
      <c r="S178" s="690">
        <f t="shared" si="41"/>
        <v>2012</v>
      </c>
      <c r="T178" s="690">
        <f t="shared" si="41"/>
        <v>2013</v>
      </c>
      <c r="U178" s="690">
        <f t="shared" si="41"/>
        <v>2014</v>
      </c>
      <c r="V178" s="690">
        <f>W178-1</f>
        <v>2015</v>
      </c>
      <c r="W178" s="730">
        <f>$D$135</f>
        <v>2016</v>
      </c>
    </row>
    <row r="179" spans="2:37" hidden="1" x14ac:dyDescent="0.3">
      <c r="B179" s="37">
        <v>1</v>
      </c>
      <c r="C179" s="37">
        <v>2</v>
      </c>
      <c r="D179" s="37">
        <v>3</v>
      </c>
      <c r="E179" s="37">
        <v>4</v>
      </c>
      <c r="F179" s="37">
        <v>5</v>
      </c>
      <c r="G179" s="37">
        <v>6</v>
      </c>
      <c r="H179" s="37">
        <v>7</v>
      </c>
      <c r="I179" s="37">
        <v>8</v>
      </c>
      <c r="J179" s="37">
        <v>9</v>
      </c>
      <c r="K179" s="37">
        <v>10</v>
      </c>
      <c r="L179" s="37">
        <v>11</v>
      </c>
      <c r="M179" s="37">
        <v>12</v>
      </c>
      <c r="N179" s="37">
        <v>13</v>
      </c>
      <c r="O179" s="37">
        <v>14</v>
      </c>
      <c r="P179" s="37">
        <v>15</v>
      </c>
      <c r="Q179" s="37">
        <v>16</v>
      </c>
      <c r="R179" s="37">
        <v>17</v>
      </c>
      <c r="S179" s="37">
        <v>18</v>
      </c>
      <c r="T179" s="37">
        <v>19</v>
      </c>
      <c r="U179" s="37">
        <v>20</v>
      </c>
      <c r="V179" s="37">
        <v>21</v>
      </c>
      <c r="W179" s="37">
        <v>22</v>
      </c>
    </row>
    <row r="180" spans="2:37" hidden="1" x14ac:dyDescent="0.3">
      <c r="B180" s="682" t="s">
        <v>59</v>
      </c>
      <c r="C180" s="682" t="s">
        <v>1</v>
      </c>
      <c r="G180" s="732">
        <f>VLOOKUP($B180,'Prix historique'!$A$47:$X$54,HLOOKUP(G$178,'Prix historique'!$A$47:$X$48,2,FALSE),FALSE)</f>
        <v>28.52</v>
      </c>
      <c r="H180" s="732">
        <f>VLOOKUP($B180,'Prix historique'!$A$47:$X$54,HLOOKUP(H$178,'Prix historique'!$A$47:$X$48,2,FALSE),FALSE)</f>
        <v>24.44</v>
      </c>
      <c r="I180" s="732">
        <f>VLOOKUP($B180,'Prix historique'!$A$47:$X$54,HLOOKUP(I$178,'Prix historique'!$A$47:$X$48,2,FALSE),FALSE)</f>
        <v>24.95</v>
      </c>
      <c r="J180" s="732">
        <f>VLOOKUP($B180,'Prix historique'!$A$47:$X$54,HLOOKUP(J$178,'Prix historique'!$A$47:$X$48,2,FALSE),FALSE)</f>
        <v>28.89</v>
      </c>
      <c r="K180" s="732">
        <f>VLOOKUP($B180,'Prix historique'!$A$47:$X$54,HLOOKUP(K$178,'Prix historique'!$A$47:$X$48,2,FALSE),FALSE)</f>
        <v>38.24</v>
      </c>
      <c r="L180" s="732">
        <f>VLOOKUP($B180,'Prix historique'!$A$47:$X$54,HLOOKUP(L$178,'Prix historique'!$A$47:$X$48,2,FALSE),FALSE)</f>
        <v>54.41</v>
      </c>
      <c r="M180" s="732">
        <f>VLOOKUP($B180,'Prix historique'!$A$47:$X$54,HLOOKUP(M$178,'Prix historique'!$A$47:$X$48,2,FALSE),FALSE)</f>
        <v>65.14</v>
      </c>
      <c r="N180" s="732">
        <f>VLOOKUP($B180,'Prix historique'!$A$47:$X$54,HLOOKUP(N$178,'Prix historique'!$A$47:$X$48,2,FALSE),FALSE)</f>
        <v>72.45</v>
      </c>
      <c r="O180" s="732">
        <f>VLOOKUP($B180,'Prix historique'!$A$47:$X$54,HLOOKUP(O$178,'Prix historique'!$A$47:$X$48,2,FALSE),FALSE)</f>
        <v>96.99</v>
      </c>
      <c r="P180" s="732">
        <f>VLOOKUP($B180,'Prix historique'!$A$47:$X$54,HLOOKUP(P$178,'Prix historique'!$A$47:$X$48,2,FALSE),FALSE)</f>
        <v>61.48</v>
      </c>
      <c r="Q180" s="732">
        <f>VLOOKUP($B180,'Prix historique'!$A$47:$X$54,HLOOKUP(Q$178,'Prix historique'!$A$47:$X$48,2,FALSE),FALSE)</f>
        <v>79.44</v>
      </c>
      <c r="R180" s="732">
        <f>VLOOKUP($B180,'Prix historique'!$A$47:$X$54,HLOOKUP(R$178,'Prix historique'!$A$47:$X$48,2,FALSE),FALSE)</f>
        <v>111.22</v>
      </c>
      <c r="S180" s="732">
        <f>VLOOKUP($B180,'Prix historique'!$A$47:$X$54,HLOOKUP(S$178,'Prix historique'!$A$47:$X$48,2,FALSE),FALSE)</f>
        <v>111.66</v>
      </c>
      <c r="T180" s="732">
        <f>VLOOKUP($B180,'Prix historique'!$A$47:$X$54,HLOOKUP(T$178,'Prix historique'!$A$47:$X$48,2,FALSE),FALSE)</f>
        <v>108.63</v>
      </c>
      <c r="U180" s="732">
        <f>VLOOKUP($B180,'Prix historique'!$A$47:$X$54,HLOOKUP(U$178,'Prix historique'!$A$47:$X$48,2,FALSE),FALSE)</f>
        <v>99.02</v>
      </c>
      <c r="V180" s="732">
        <f>VLOOKUP($B180,'Prix historique'!$A$47:$X$54,HLOOKUP(V$178,'Prix historique'!$A$47:$X$48,2,FALSE),FALSE)</f>
        <v>52.35</v>
      </c>
      <c r="W180" s="732">
        <f>VLOOKUP($B180,'Prix historique'!$A$47:$X$54,HLOOKUP(W$178,'Prix historique'!$A$47:$X$48,2,FALSE),FALSE)</f>
        <v>40</v>
      </c>
    </row>
    <row r="181" spans="2:37" hidden="1" x14ac:dyDescent="0.3">
      <c r="B181" s="734" t="s">
        <v>57</v>
      </c>
      <c r="C181" s="682" t="s">
        <v>62</v>
      </c>
      <c r="G181" s="732" t="e">
        <f>VLOOKUP($B181,'Prix historique'!$A$47:$X$54,HLOOKUP(G$178,'Prix historique'!$A$47:$X$48,2,FALSE),FALSE)</f>
        <v>#N/A</v>
      </c>
      <c r="H181" s="732" t="e">
        <f>VLOOKUP($B181,'Prix historique'!$A$47:$X$54,HLOOKUP(H$178,'Prix historique'!$A$47:$X$48,2,FALSE),FALSE)</f>
        <v>#N/A</v>
      </c>
      <c r="I181" s="732" t="e">
        <f>VLOOKUP($B181,'Prix historique'!$A$47:$X$54,HLOOKUP(I$178,'Prix historique'!$A$47:$X$48,2,FALSE),FALSE)</f>
        <v>#N/A</v>
      </c>
      <c r="J181" s="732" t="e">
        <f>VLOOKUP($B181,'Prix historique'!$A$47:$X$54,HLOOKUP(J$178,'Prix historique'!$A$47:$X$48,2,FALSE),FALSE)</f>
        <v>#N/A</v>
      </c>
      <c r="K181" s="732" t="e">
        <f>VLOOKUP($B181,'Prix historique'!$A$47:$X$54,HLOOKUP(K$178,'Prix historique'!$A$47:$X$48,2,FALSE),FALSE)</f>
        <v>#N/A</v>
      </c>
      <c r="L181" s="732">
        <f ca="1">VLOOKUP($B181,'Prix historique'!$A$47:$X$54,HLOOKUP(L$178,'Prix historique'!$A$47:$X$48,2,FALSE),FALSE)</f>
        <v>67.400000000000006</v>
      </c>
      <c r="M181" s="732">
        <f ca="1">VLOOKUP($B181,'Prix historique'!$A$47:$X$54,HLOOKUP(M$178,'Prix historique'!$A$47:$X$48,2,FALSE),FALSE)</f>
        <v>67.400000000000006</v>
      </c>
      <c r="N181" s="732">
        <f ca="1">VLOOKUP($B181,'Prix historique'!$A$47:$X$54,HLOOKUP(N$178,'Prix historique'!$A$47:$X$48,2,FALSE),FALSE)</f>
        <v>68.5</v>
      </c>
      <c r="O181" s="732">
        <f ca="1">VLOOKUP($B181,'Prix historique'!$A$47:$X$54,HLOOKUP(O$178,'Prix historique'!$A$47:$X$48,2,FALSE),FALSE)</f>
        <v>57.249999999999993</v>
      </c>
      <c r="P181" s="732">
        <f ca="1">VLOOKUP($B181,'Prix historique'!$A$47:$X$54,HLOOKUP(P$178,'Prix historique'!$A$47:$X$48,2,FALSE),FALSE)</f>
        <v>64.900000000000006</v>
      </c>
      <c r="Q181" s="732">
        <f ca="1">VLOOKUP($B181,'Prix historique'!$A$47:$X$54,HLOOKUP(Q$178,'Prix historique'!$A$47:$X$48,2,FALSE),FALSE)</f>
        <v>66.099999999999994</v>
      </c>
      <c r="R181" s="732">
        <f ca="1">VLOOKUP($B181,'Prix historique'!$A$47:$X$54,HLOOKUP(R$178,'Prix historique'!$A$47:$X$48,2,FALSE),FALSE)</f>
        <v>72.099999999999994</v>
      </c>
      <c r="S181" s="732">
        <f ca="1">VLOOKUP($B181,'Prix historique'!$A$47:$X$54,HLOOKUP(S$178,'Prix historique'!$A$47:$X$48,2,FALSE),FALSE)</f>
        <v>75.550000000000011</v>
      </c>
      <c r="T181" s="732">
        <f ca="1">VLOOKUP($B181,'Prix historique'!$A$47:$X$54,HLOOKUP(T$178,'Prix historique'!$A$47:$X$48,2,FALSE),FALSE)</f>
        <v>78.800000000000011</v>
      </c>
      <c r="U181" s="732">
        <f ca="1">VLOOKUP($B181,'Prix historique'!$A$47:$X$54,HLOOKUP(U$178,'Prix historique'!$A$47:$X$48,2,FALSE),FALSE)</f>
        <v>80.900000000000006</v>
      </c>
      <c r="V181" s="732">
        <f ca="1">VLOOKUP($B181,'Prix historique'!$A$47:$X$54,HLOOKUP(V$178,'Prix historique'!$A$47:$X$48,2,FALSE),FALSE)</f>
        <v>85.75</v>
      </c>
      <c r="W181" s="732">
        <f ca="1">VLOOKUP($B181,'Prix historique'!$A$47:$X$54,HLOOKUP(W$178,'Prix historique'!$A$47:$X$48,2,FALSE),FALSE)</f>
        <v>83.7</v>
      </c>
    </row>
    <row r="182" spans="2:37" hidden="1" x14ac:dyDescent="0.3">
      <c r="B182" s="734" t="s">
        <v>58</v>
      </c>
      <c r="C182" s="682" t="s">
        <v>214</v>
      </c>
      <c r="G182" s="732">
        <f ca="1">VLOOKUP($B182,'Prix historique'!$A$47:$X$54,HLOOKUP(G$178,'Prix historique'!$A$47:$X$48,2,FALSE),FALSE)</f>
        <v>19.185665146788256</v>
      </c>
      <c r="H182" s="732">
        <f ca="1">VLOOKUP($B182,'Prix historique'!$A$47:$X$54,HLOOKUP(H$178,'Prix historique'!$A$47:$X$48,2,FALSE),FALSE)</f>
        <v>23.3257339412847</v>
      </c>
      <c r="I182" s="732">
        <f ca="1">VLOOKUP($B182,'Prix historique'!$A$47:$X$54,HLOOKUP(I$178,'Prix historique'!$A$47:$X$48,2,FALSE),FALSE)</f>
        <v>20.838332933365329</v>
      </c>
      <c r="J182" s="732">
        <f ca="1">VLOOKUP($B182,'Prix historique'!$A$47:$X$54,HLOOKUP(J$178,'Prix historique'!$A$47:$X$48,2,FALSE),FALSE)</f>
        <v>22.238220942324613</v>
      </c>
      <c r="K182" s="732">
        <f ca="1">VLOOKUP($B182,'Prix historique'!$A$47:$X$54,HLOOKUP(K$178,'Prix historique'!$A$47:$X$48,2,FALSE),FALSE)</f>
        <v>22.038236941044715</v>
      </c>
      <c r="L182" s="732">
        <f ca="1">VLOOKUP($B182,'Prix historique'!$A$47:$X$54,HLOOKUP(L$178,'Prix historique'!$A$47:$X$48,2,FALSE),FALSE)</f>
        <v>26.657867370610351</v>
      </c>
      <c r="M182" s="732">
        <f ca="1">VLOOKUP($B182,'Prix historique'!$A$47:$X$54,HLOOKUP(M$178,'Prix historique'!$A$47:$X$48,2,FALSE),FALSE)</f>
        <v>33.417326613870891</v>
      </c>
      <c r="N182" s="732">
        <f ca="1">VLOOKUP($B182,'Prix historique'!$A$47:$X$54,HLOOKUP(N$178,'Prix historique'!$A$47:$X$48,2,FALSE),FALSE)</f>
        <v>31.317494600431964</v>
      </c>
      <c r="O182" s="732">
        <f ca="1">VLOOKUP($B182,'Prix historique'!$A$47:$X$54,HLOOKUP(O$178,'Prix historique'!$A$47:$X$48,2,FALSE),FALSE)</f>
        <v>40.166666666666664</v>
      </c>
      <c r="P182" s="732">
        <f ca="1">VLOOKUP($B182,'Prix historique'!$A$47:$X$54,HLOOKUP(P$178,'Prix historique'!$A$47:$X$48,2,FALSE),FALSE)</f>
        <v>37.611111111111114</v>
      </c>
      <c r="Q182" s="732">
        <f ca="1">VLOOKUP($B182,'Prix historique'!$A$47:$X$54,HLOOKUP(Q$178,'Prix historique'!$A$47:$X$48,2,FALSE),FALSE)</f>
        <v>37.777777777777779</v>
      </c>
      <c r="R182" s="732">
        <f ca="1">VLOOKUP($B182,'Prix historique'!$A$47:$X$54,HLOOKUP(R$178,'Prix historique'!$A$47:$X$48,2,FALSE),FALSE)</f>
        <v>41.277777777777786</v>
      </c>
      <c r="S182" s="732">
        <f ca="1">VLOOKUP($B182,'Prix historique'!$A$47:$X$54,HLOOKUP(S$178,'Prix historique'!$A$47:$X$48,2,FALSE),FALSE)</f>
        <v>43.999999999999993</v>
      </c>
      <c r="T182" s="732">
        <f ca="1">VLOOKUP($B182,'Prix historique'!$A$47:$X$54,HLOOKUP(T$178,'Prix historique'!$A$47:$X$48,2,FALSE),FALSE)</f>
        <v>44.222222222222229</v>
      </c>
      <c r="U182" s="732">
        <f ca="1">VLOOKUP($B182,'Prix historique'!$A$47:$X$54,HLOOKUP(U$178,'Prix historique'!$A$47:$X$48,2,FALSE),FALSE)</f>
        <v>42.55555555555555</v>
      </c>
      <c r="V182" s="732">
        <f ca="1">VLOOKUP($B182,'Prix historique'!$A$47:$X$54,HLOOKUP(V$178,'Prix historique'!$A$47:$X$48,2,FALSE),FALSE)</f>
        <v>41.388888888888886</v>
      </c>
      <c r="W182" s="732">
        <f ca="1">VLOOKUP($B182,'Prix historique'!$A$47:$X$54,HLOOKUP(W$178,'Prix historique'!$A$47:$X$48,2,FALSE),FALSE)</f>
        <v>40.888888888888886</v>
      </c>
    </row>
    <row r="183" spans="2:37" hidden="1" x14ac:dyDescent="0.3">
      <c r="B183" s="734" t="s">
        <v>15</v>
      </c>
      <c r="C183" s="682" t="s">
        <v>214</v>
      </c>
      <c r="G183" s="732">
        <f>VLOOKUP($B183,'Prix historique'!$A$47:$X$54,HLOOKUP(G$178,'Prix historique'!$A$47:$X$48,2,FALSE),FALSE)</f>
        <v>19.109891098910989</v>
      </c>
      <c r="H183" s="732">
        <f>VLOOKUP($B183,'Prix historique'!$A$47:$X$54,HLOOKUP(H$178,'Prix historique'!$A$47:$X$48,2,FALSE),FALSE)</f>
        <v>17.083070830708305</v>
      </c>
      <c r="I183" s="732">
        <f>VLOOKUP($B183,'Prix historique'!$A$47:$X$54,HLOOKUP(I$178,'Prix historique'!$A$47:$X$48,2,FALSE),FALSE)</f>
        <v>18.087480874808747</v>
      </c>
      <c r="J183" s="732">
        <f>VLOOKUP($B183,'Prix historique'!$A$47:$X$54,HLOOKUP(J$178,'Prix historique'!$A$47:$X$48,2,FALSE),FALSE)</f>
        <v>18.081180811808117</v>
      </c>
      <c r="K183" s="732">
        <f>VLOOKUP($B183,'Prix historique'!$A$47:$X$54,HLOOKUP(K$178,'Prix historique'!$A$47:$X$48,2,FALSE),FALSE)</f>
        <v>16.822068220682205</v>
      </c>
      <c r="L183" s="732">
        <f>VLOOKUP($B183,'Prix historique'!$A$47:$X$54,HLOOKUP(L$178,'Prix historique'!$A$47:$X$48,2,FALSE),FALSE)</f>
        <v>23.803438034380346</v>
      </c>
      <c r="M183" s="732">
        <f>VLOOKUP($B183,'Prix historique'!$A$47:$X$54,HLOOKUP(M$178,'Prix historique'!$A$47:$X$48,2,FALSE),FALSE)</f>
        <v>26.592565925659258</v>
      </c>
      <c r="N183" s="732">
        <f>VLOOKUP($B183,'Prix historique'!$A$47:$X$54,HLOOKUP(N$178,'Prix historique'!$A$47:$X$48,2,FALSE),FALSE)</f>
        <v>28.033480334803347</v>
      </c>
      <c r="O183" s="732">
        <f>VLOOKUP($B183,'Prix historique'!$A$47:$X$54,HLOOKUP(O$178,'Prix historique'!$A$47:$X$48,2,FALSE),FALSE)</f>
        <v>36.177661776617768</v>
      </c>
      <c r="P183" s="732">
        <f>VLOOKUP($B183,'Prix historique'!$A$47:$X$54,HLOOKUP(P$178,'Prix historique'!$A$47:$X$48,2,FALSE),FALSE)</f>
        <v>28.619386193861938</v>
      </c>
      <c r="Q183" s="732">
        <f>VLOOKUP($B183,'Prix historique'!$A$47:$X$54,HLOOKUP(Q$178,'Prix historique'!$A$47:$X$48,2,FALSE),FALSE)</f>
        <v>37.049770497704976</v>
      </c>
      <c r="R183" s="732">
        <f>VLOOKUP($B183,'Prix historique'!$A$47:$X$54,HLOOKUP(R$178,'Prix historique'!$A$47:$X$48,2,FALSE),FALSE)</f>
        <v>47.102871028710283</v>
      </c>
      <c r="S183" s="732">
        <f>VLOOKUP($B183,'Prix historique'!$A$47:$X$54,HLOOKUP(S$178,'Prix historique'!$A$47:$X$48,2,FALSE),FALSE)</f>
        <v>54.055440554405543</v>
      </c>
      <c r="T183" s="732">
        <f>VLOOKUP($B183,'Prix historique'!$A$47:$X$54,HLOOKUP(T$178,'Prix historique'!$A$47:$X$48,2,FALSE),FALSE)</f>
        <v>49.675096750967512</v>
      </c>
      <c r="U183" s="732">
        <f>VLOOKUP($B183,'Prix historique'!$A$47:$X$54,HLOOKUP(U$178,'Prix historique'!$A$47:$X$48,2,FALSE),FALSE)</f>
        <v>46.519665196651964</v>
      </c>
      <c r="V183" s="732">
        <f>VLOOKUP($B183,'Prix historique'!$A$47:$X$54,HLOOKUP(V$178,'Prix historique'!$A$47:$X$48,2,FALSE),FALSE)</f>
        <v>33.343608436084352</v>
      </c>
      <c r="W183" s="732">
        <f>VLOOKUP($B183,'Prix historique'!$A$47:$X$54,HLOOKUP(W$178,'Prix historique'!$A$47:$X$48,2,FALSE),FALSE)</f>
        <v>27.000270002700024</v>
      </c>
    </row>
    <row r="184" spans="2:37" hidden="1" x14ac:dyDescent="0.3">
      <c r="B184" s="734" t="s">
        <v>128</v>
      </c>
      <c r="C184" s="682" t="s">
        <v>214</v>
      </c>
      <c r="G184" s="732" t="e">
        <f>VLOOKUP($B184,'Prix historique'!$A$47:$X$54,HLOOKUP(G$178,'Prix historique'!$A$47:$X$48,2,FALSE),FALSE)</f>
        <v>#N/A</v>
      </c>
      <c r="H184" s="732" t="e">
        <f>VLOOKUP($B184,'Prix historique'!$A$47:$X$54,HLOOKUP(H$178,'Prix historique'!$A$47:$X$48,2,FALSE),FALSE)</f>
        <v>#N/A</v>
      </c>
      <c r="I184" s="732" t="e">
        <f>VLOOKUP($B184,'Prix historique'!$A$47:$X$54,HLOOKUP(I$178,'Prix historique'!$A$47:$X$48,2,FALSE),FALSE)</f>
        <v>#N/A</v>
      </c>
      <c r="J184" s="732" t="e">
        <f>VLOOKUP($B184,'Prix historique'!$A$47:$X$54,HLOOKUP(J$178,'Prix historique'!$A$47:$X$48,2,FALSE),FALSE)</f>
        <v>#N/A</v>
      </c>
      <c r="K184" s="732">
        <f>VLOOKUP($B184,'Prix historique'!$A$47:$X$54,HLOOKUP(K$178,'Prix historique'!$A$47:$X$48,2,FALSE),FALSE)</f>
        <v>37.583333333333329</v>
      </c>
      <c r="L184" s="732">
        <f>VLOOKUP($B184,'Prix historique'!$A$47:$X$54,HLOOKUP(L$178,'Prix historique'!$A$47:$X$48,2,FALSE),FALSE)</f>
        <v>49.083333333333336</v>
      </c>
      <c r="M184" s="732">
        <f>VLOOKUP($B184,'Prix historique'!$A$47:$X$54,HLOOKUP(M$178,'Prix historique'!$A$47:$X$48,2,FALSE),FALSE)</f>
        <v>54.25</v>
      </c>
      <c r="N184" s="732">
        <f>VLOOKUP($B184,'Prix historique'!$A$47:$X$54,HLOOKUP(N$178,'Prix historique'!$A$47:$X$48,2,FALSE),FALSE)</f>
        <v>54.416666666666664</v>
      </c>
      <c r="O184" s="732">
        <f>VLOOKUP($B184,'Prix historique'!$A$47:$X$54,HLOOKUP(O$178,'Prix historique'!$A$47:$X$48,2,FALSE),FALSE)</f>
        <v>69.666666666666671</v>
      </c>
      <c r="P184" s="732">
        <f>VLOOKUP($B184,'Prix historique'!$A$47:$X$54,HLOOKUP(P$178,'Prix historique'!$A$47:$X$48,2,FALSE),FALSE)</f>
        <v>48.083333333333329</v>
      </c>
      <c r="Q184" s="732">
        <f>VLOOKUP($B184,'Prix historique'!$A$47:$X$54,HLOOKUP(Q$178,'Prix historique'!$A$47:$X$48,2,FALSE),FALSE)</f>
        <v>59.833333333333336</v>
      </c>
      <c r="R184" s="732">
        <f>VLOOKUP($B184,'Prix historique'!$A$47:$X$54,HLOOKUP(R$178,'Prix historique'!$A$47:$X$48,2,FALSE),FALSE)</f>
        <v>74.166666666666671</v>
      </c>
      <c r="S184" s="732">
        <f>VLOOKUP($B184,'Prix historique'!$A$47:$X$54,HLOOKUP(S$178,'Prix historique'!$A$47:$X$48,2,FALSE),FALSE)</f>
        <v>81</v>
      </c>
      <c r="T184" s="732">
        <f>VLOOKUP($B184,'Prix historique'!$A$47:$X$54,HLOOKUP(T$178,'Prix historique'!$A$47:$X$48,2,FALSE),FALSE)</f>
        <v>77.5</v>
      </c>
      <c r="U184" s="732">
        <f>VLOOKUP($B184,'Prix historique'!$A$47:$X$54,HLOOKUP(U$178,'Prix historique'!$A$47:$X$48,2,FALSE),FALSE)</f>
        <v>71.833333333333329</v>
      </c>
      <c r="V184" s="732">
        <f>VLOOKUP($B184,'Prix historique'!$A$47:$X$54,HLOOKUP(V$178,'Prix historique'!$A$47:$X$48,2,FALSE),FALSE)</f>
        <v>59.26819444444444</v>
      </c>
      <c r="W184" s="732">
        <f>VLOOKUP($B184,'Prix historique'!$A$47:$X$54,HLOOKUP(W$178,'Prix historique'!$A$47:$X$48,2,FALSE),FALSE)</f>
        <v>47.300000000000004</v>
      </c>
    </row>
    <row r="185" spans="2:37" hidden="1" x14ac:dyDescent="0.3">
      <c r="B185" s="734" t="s">
        <v>18</v>
      </c>
      <c r="C185" s="682" t="s">
        <v>214</v>
      </c>
      <c r="G185" s="732">
        <f>VLOOKUP($B185,'Prix historique'!$A$47:$X$54,HLOOKUP(G$178,'Prix historique'!$A$47:$X$48,2,FALSE),FALSE)</f>
        <v>58.721469776774526</v>
      </c>
      <c r="H185" s="732">
        <f>VLOOKUP($B185,'Prix historique'!$A$47:$X$54,HLOOKUP(H$178,'Prix historique'!$A$47:$X$48,2,FALSE),FALSE)</f>
        <v>60.08276899924757</v>
      </c>
      <c r="I185" s="732">
        <f>VLOOKUP($B185,'Prix historique'!$A$47:$X$54,HLOOKUP(I$178,'Prix historique'!$A$47:$X$48,2,FALSE),FALSE)</f>
        <v>59.593052420366192</v>
      </c>
      <c r="J185" s="732">
        <f>VLOOKUP($B185,'Prix historique'!$A$47:$X$54,HLOOKUP(J$178,'Prix historique'!$A$47:$X$48,2,FALSE),FALSE)</f>
        <v>65.791948833709554</v>
      </c>
      <c r="K185" s="732">
        <f>VLOOKUP($B185,'Prix historique'!$A$47:$X$54,HLOOKUP(K$178,'Prix historique'!$A$47:$X$48,2,FALSE),FALSE)</f>
        <v>67.662402809129674</v>
      </c>
      <c r="L185" s="732">
        <f>VLOOKUP($B185,'Prix historique'!$A$47:$X$54,HLOOKUP(L$178,'Prix historique'!$A$47:$X$48,2,FALSE),FALSE)</f>
        <v>77.25420115374969</v>
      </c>
      <c r="M185" s="732">
        <f>VLOOKUP($B185,'Prix historique'!$A$47:$X$54,HLOOKUP(M$178,'Prix historique'!$A$47:$X$48,2,FALSE),FALSE)</f>
        <v>85.719839478304493</v>
      </c>
      <c r="N185" s="732">
        <f>VLOOKUP($B185,'Prix historique'!$A$47:$X$54,HLOOKUP(N$178,'Prix historique'!$A$47:$X$48,2,FALSE),FALSE)</f>
        <v>87.114998745924268</v>
      </c>
      <c r="O185" s="732">
        <f>VLOOKUP($B185,'Prix historique'!$A$47:$X$54,HLOOKUP(O$178,'Prix historique'!$A$47:$X$48,2,FALSE),FALSE)</f>
        <v>98.355279658891405</v>
      </c>
      <c r="P185" s="732">
        <f>VLOOKUP($B185,'Prix historique'!$A$47:$X$54,HLOOKUP(P$178,'Prix historique'!$A$47:$X$48,2,FALSE),FALSE)</f>
        <v>85.617005267118145</v>
      </c>
      <c r="Q185" s="732">
        <f>VLOOKUP($B185,'Prix historique'!$A$47:$X$54,HLOOKUP(Q$178,'Prix historique'!$A$47:$X$48,2,FALSE),FALSE)</f>
        <v>91.265362427890651</v>
      </c>
      <c r="R185" s="732">
        <f>VLOOKUP($B185,'Prix historique'!$A$47:$X$54,HLOOKUP(R$178,'Prix historique'!$A$47:$X$48,2,FALSE),FALSE)</f>
        <v>104.73413594181089</v>
      </c>
      <c r="S185" s="732">
        <f>VLOOKUP($B185,'Prix historique'!$A$47:$X$54,HLOOKUP(S$178,'Prix historique'!$A$47:$X$48,2,FALSE),FALSE)</f>
        <v>112.30812641083523</v>
      </c>
      <c r="T185" s="732">
        <f>VLOOKUP($B185,'Prix historique'!$A$47:$X$54,HLOOKUP(T$178,'Prix historique'!$A$47:$X$48,2,FALSE),FALSE)</f>
        <v>114.26511161274141</v>
      </c>
      <c r="U185" s="732">
        <f>VLOOKUP($B185,'Prix historique'!$A$47:$X$54,HLOOKUP(U$178,'Prix historique'!$A$47:$X$48,2,FALSE),FALSE)</f>
        <v>106.93585663824096</v>
      </c>
      <c r="V185" s="732">
        <f>VLOOKUP($B185,'Prix historique'!$A$47:$X$54,HLOOKUP(V$178,'Prix historique'!$A$47:$X$48,2,FALSE),FALSE)</f>
        <v>99.992441580971501</v>
      </c>
      <c r="W185" s="732">
        <f>VLOOKUP($B185,'Prix historique'!$A$47:$X$54,HLOOKUP(W$178,'Prix historique'!$A$47:$X$48,2,FALSE),FALSE)</f>
        <v>95.311626666875682</v>
      </c>
    </row>
    <row r="186" spans="2:37" hidden="1" x14ac:dyDescent="0.3"/>
    <row r="187" spans="2:37" ht="15.5" hidden="1" x14ac:dyDescent="0.35">
      <c r="B187" s="704" t="s">
        <v>421</v>
      </c>
    </row>
    <row r="188" spans="2:37" hidden="1" x14ac:dyDescent="0.3"/>
    <row r="189" spans="2:37" hidden="1" x14ac:dyDescent="0.3">
      <c r="G189" s="690">
        <f t="shared" ref="G189:U189" si="42">H189-1</f>
        <v>2000</v>
      </c>
      <c r="H189" s="690">
        <f t="shared" si="42"/>
        <v>2001</v>
      </c>
      <c r="I189" s="690">
        <f t="shared" si="42"/>
        <v>2002</v>
      </c>
      <c r="J189" s="690">
        <f t="shared" si="42"/>
        <v>2003</v>
      </c>
      <c r="K189" s="690">
        <f t="shared" si="42"/>
        <v>2004</v>
      </c>
      <c r="L189" s="690">
        <f t="shared" si="42"/>
        <v>2005</v>
      </c>
      <c r="M189" s="690">
        <f t="shared" si="42"/>
        <v>2006</v>
      </c>
      <c r="N189" s="690">
        <f t="shared" si="42"/>
        <v>2007</v>
      </c>
      <c r="O189" s="690">
        <f t="shared" si="42"/>
        <v>2008</v>
      </c>
      <c r="P189" s="690">
        <f t="shared" si="42"/>
        <v>2009</v>
      </c>
      <c r="Q189" s="690">
        <f t="shared" si="42"/>
        <v>2010</v>
      </c>
      <c r="R189" s="690">
        <f t="shared" si="42"/>
        <v>2011</v>
      </c>
      <c r="S189" s="690">
        <f t="shared" si="42"/>
        <v>2012</v>
      </c>
      <c r="T189" s="690">
        <f t="shared" si="42"/>
        <v>2013</v>
      </c>
      <c r="U189" s="690">
        <f t="shared" si="42"/>
        <v>2014</v>
      </c>
      <c r="V189" s="690">
        <f>W189-1</f>
        <v>2015</v>
      </c>
      <c r="W189" s="730">
        <f>$D$135</f>
        <v>2016</v>
      </c>
      <c r="X189" s="690">
        <f>W189+1</f>
        <v>2017</v>
      </c>
      <c r="Y189" s="690">
        <f t="shared" ref="Y189:AK189" si="43">X189+1</f>
        <v>2018</v>
      </c>
      <c r="Z189" s="690">
        <f t="shared" si="43"/>
        <v>2019</v>
      </c>
      <c r="AA189" s="690">
        <f t="shared" si="43"/>
        <v>2020</v>
      </c>
      <c r="AB189" s="690">
        <f t="shared" si="43"/>
        <v>2021</v>
      </c>
      <c r="AC189" s="690">
        <f t="shared" si="43"/>
        <v>2022</v>
      </c>
      <c r="AD189" s="690">
        <f t="shared" si="43"/>
        <v>2023</v>
      </c>
      <c r="AE189" s="690">
        <f t="shared" si="43"/>
        <v>2024</v>
      </c>
      <c r="AF189" s="690">
        <f t="shared" si="43"/>
        <v>2025</v>
      </c>
      <c r="AG189" s="690">
        <f t="shared" si="43"/>
        <v>2026</v>
      </c>
      <c r="AH189" s="690">
        <f t="shared" si="43"/>
        <v>2027</v>
      </c>
      <c r="AI189" s="690">
        <f t="shared" si="43"/>
        <v>2028</v>
      </c>
      <c r="AJ189" s="690">
        <f t="shared" si="43"/>
        <v>2029</v>
      </c>
      <c r="AK189" s="690">
        <f t="shared" si="43"/>
        <v>2030</v>
      </c>
    </row>
    <row r="190" spans="2:37" hidden="1" x14ac:dyDescent="0.3">
      <c r="B190" s="694" t="s">
        <v>1</v>
      </c>
      <c r="C190" s="695" t="str">
        <f>"Petrole brut - "&amp;B190</f>
        <v>Petrole brut - $/bl</v>
      </c>
      <c r="D190" s="694"/>
      <c r="E190" s="694" t="s">
        <v>182</v>
      </c>
      <c r="F190" s="694"/>
      <c r="G190" s="696">
        <f>G180</f>
        <v>28.52</v>
      </c>
      <c r="H190" s="696">
        <f t="shared" ref="H190:W190" si="44">H180</f>
        <v>24.44</v>
      </c>
      <c r="I190" s="696">
        <f t="shared" si="44"/>
        <v>24.95</v>
      </c>
      <c r="J190" s="696">
        <f t="shared" si="44"/>
        <v>28.89</v>
      </c>
      <c r="K190" s="696">
        <f t="shared" si="44"/>
        <v>38.24</v>
      </c>
      <c r="L190" s="696">
        <f t="shared" si="44"/>
        <v>54.41</v>
      </c>
      <c r="M190" s="696">
        <f t="shared" si="44"/>
        <v>65.14</v>
      </c>
      <c r="N190" s="696">
        <f t="shared" si="44"/>
        <v>72.45</v>
      </c>
      <c r="O190" s="696">
        <f t="shared" si="44"/>
        <v>96.99</v>
      </c>
      <c r="P190" s="696">
        <f t="shared" si="44"/>
        <v>61.48</v>
      </c>
      <c r="Q190" s="696">
        <f t="shared" si="44"/>
        <v>79.44</v>
      </c>
      <c r="R190" s="696">
        <f t="shared" si="44"/>
        <v>111.22</v>
      </c>
      <c r="S190" s="696">
        <f t="shared" si="44"/>
        <v>111.66</v>
      </c>
      <c r="T190" s="696">
        <f t="shared" si="44"/>
        <v>108.63</v>
      </c>
      <c r="U190" s="696">
        <f t="shared" si="44"/>
        <v>99.02</v>
      </c>
      <c r="V190" s="696">
        <f t="shared" si="44"/>
        <v>52.35</v>
      </c>
      <c r="W190" s="696">
        <f t="shared" si="44"/>
        <v>40</v>
      </c>
      <c r="X190" s="697"/>
      <c r="Y190" s="697"/>
      <c r="Z190" s="697"/>
      <c r="AA190" s="697"/>
      <c r="AB190" s="697"/>
      <c r="AC190" s="697"/>
      <c r="AD190" s="697"/>
      <c r="AE190" s="697"/>
      <c r="AF190" s="697"/>
      <c r="AG190" s="697"/>
      <c r="AH190" s="697"/>
      <c r="AI190" s="697"/>
      <c r="AJ190" s="697"/>
      <c r="AK190" s="697"/>
    </row>
    <row r="191" spans="2:37" hidden="1" x14ac:dyDescent="0.3">
      <c r="B191" s="694"/>
      <c r="C191" s="695" t="str">
        <f>C190</f>
        <v>Petrole brut - $/bl</v>
      </c>
      <c r="D191" s="694"/>
      <c r="E191" s="694" t="s">
        <v>420</v>
      </c>
      <c r="F191" s="694"/>
      <c r="W191" s="696">
        <f>W190</f>
        <v>40</v>
      </c>
      <c r="X191" s="697">
        <f>'Scénarios prix énergie'!X233</f>
        <v>47.568284600108839</v>
      </c>
      <c r="Y191" s="697">
        <f>'Scénarios prix énergie'!Y233</f>
        <v>56.568542494923797</v>
      </c>
      <c r="Z191" s="697">
        <f>'Scénarios prix énergie'!Z233</f>
        <v>67.271713220297158</v>
      </c>
      <c r="AA191" s="697">
        <f>'Scénarios prix énergie'!AA233</f>
        <v>80</v>
      </c>
      <c r="AB191" s="697">
        <f>'Scénarios prix énergie'!AB233</f>
        <v>82.811153222749653</v>
      </c>
      <c r="AC191" s="697">
        <f>'Scénarios prix énergie'!AC233</f>
        <v>85.721088726021506</v>
      </c>
      <c r="AD191" s="697">
        <f>'Scénarios prix énergie'!AD233</f>
        <v>88.733277661393558</v>
      </c>
      <c r="AE191" s="697">
        <f>'Scénarios prix énergie'!AE233</f>
        <v>91.851313154680639</v>
      </c>
      <c r="AF191" s="697">
        <f>'Scénarios prix énergie'!AF233</f>
        <v>95.078914592037748</v>
      </c>
      <c r="AG191" s="697">
        <f>'Scénarios prix énergie'!AG233</f>
        <v>98.419932056674583</v>
      </c>
      <c r="AH191" s="697">
        <f>'Scénarios prix énergie'!AH233</f>
        <v>101.87835092147363</v>
      </c>
      <c r="AI191" s="697">
        <f>'Scénarios prix énergie'!AI233</f>
        <v>105.45829660299013</v>
      </c>
      <c r="AJ191" s="697">
        <f>'Scénarios prix énergie'!AJ233</f>
        <v>109.16403948250495</v>
      </c>
      <c r="AK191" s="697">
        <f>'Scénarios prix énergie'!AK233</f>
        <v>113</v>
      </c>
    </row>
    <row r="192" spans="2:37" hidden="1" x14ac:dyDescent="0.3">
      <c r="B192" s="694"/>
      <c r="C192" s="695" t="str">
        <f>C191</f>
        <v>Petrole brut - $/bl</v>
      </c>
      <c r="D192" s="694"/>
      <c r="E192" s="694" t="s">
        <v>183</v>
      </c>
      <c r="F192" s="694"/>
      <c r="W192" s="696">
        <f>W191</f>
        <v>40</v>
      </c>
      <c r="X192" s="697">
        <f t="shared" ref="X192:AK192" si="45">W192</f>
        <v>40</v>
      </c>
      <c r="Y192" s="697">
        <f t="shared" si="45"/>
        <v>40</v>
      </c>
      <c r="Z192" s="697">
        <f t="shared" si="45"/>
        <v>40</v>
      </c>
      <c r="AA192" s="697">
        <f t="shared" si="45"/>
        <v>40</v>
      </c>
      <c r="AB192" s="697">
        <f t="shared" si="45"/>
        <v>40</v>
      </c>
      <c r="AC192" s="697">
        <f t="shared" si="45"/>
        <v>40</v>
      </c>
      <c r="AD192" s="697">
        <f t="shared" si="45"/>
        <v>40</v>
      </c>
      <c r="AE192" s="697">
        <f t="shared" si="45"/>
        <v>40</v>
      </c>
      <c r="AF192" s="697">
        <f t="shared" si="45"/>
        <v>40</v>
      </c>
      <c r="AG192" s="697">
        <f t="shared" si="45"/>
        <v>40</v>
      </c>
      <c r="AH192" s="697">
        <f t="shared" si="45"/>
        <v>40</v>
      </c>
      <c r="AI192" s="697">
        <f t="shared" si="45"/>
        <v>40</v>
      </c>
      <c r="AJ192" s="697">
        <f t="shared" si="45"/>
        <v>40</v>
      </c>
      <c r="AK192" s="697">
        <f t="shared" si="45"/>
        <v>40</v>
      </c>
    </row>
    <row r="193" spans="2:39" hidden="1" x14ac:dyDescent="0.3">
      <c r="B193" s="694"/>
      <c r="C193" s="695" t="str">
        <f>C192</f>
        <v>Petrole brut - $/bl</v>
      </c>
      <c r="D193" s="694"/>
      <c r="E193" s="694" t="s">
        <v>328</v>
      </c>
      <c r="F193" s="694"/>
      <c r="W193" s="696"/>
      <c r="X193" s="697"/>
      <c r="Y193" s="697"/>
      <c r="Z193" s="697"/>
      <c r="AA193" s="697"/>
      <c r="AB193" s="697"/>
      <c r="AC193" s="697"/>
      <c r="AD193" s="697"/>
      <c r="AE193" s="697"/>
      <c r="AF193" s="697"/>
      <c r="AG193" s="697"/>
      <c r="AH193" s="697"/>
      <c r="AI193" s="697"/>
      <c r="AJ193" s="697"/>
      <c r="AK193" s="697"/>
    </row>
    <row r="194" spans="2:39" s="118" customFormat="1" hidden="1" x14ac:dyDescent="0.3">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row>
    <row r="195" spans="2:39" hidden="1" x14ac:dyDescent="0.3">
      <c r="B195" s="684" t="str">
        <f>N25</f>
        <v>€/MWh PCI</v>
      </c>
      <c r="C195" s="698" t="str">
        <f>"Fioul Lourd - "&amp;B195</f>
        <v>Fioul Lourd - €/MWh PCI</v>
      </c>
      <c r="D195" s="684"/>
      <c r="E195" s="684" t="s">
        <v>182</v>
      </c>
      <c r="F195" s="684"/>
      <c r="G195" s="697">
        <f t="shared" ref="G195:W195" si="46">IF($V$11=1,G$183,IF($V$11=2,G$183*$G$254,#N/A))</f>
        <v>19.109891098910989</v>
      </c>
      <c r="H195" s="697">
        <f t="shared" si="46"/>
        <v>17.083070830708305</v>
      </c>
      <c r="I195" s="697">
        <f t="shared" si="46"/>
        <v>18.087480874808747</v>
      </c>
      <c r="J195" s="697">
        <f t="shared" si="46"/>
        <v>18.081180811808117</v>
      </c>
      <c r="K195" s="697">
        <f t="shared" si="46"/>
        <v>16.822068220682205</v>
      </c>
      <c r="L195" s="697">
        <f t="shared" si="46"/>
        <v>23.803438034380346</v>
      </c>
      <c r="M195" s="697">
        <f t="shared" si="46"/>
        <v>26.592565925659258</v>
      </c>
      <c r="N195" s="697">
        <f t="shared" si="46"/>
        <v>28.033480334803347</v>
      </c>
      <c r="O195" s="697">
        <f t="shared" si="46"/>
        <v>36.177661776617768</v>
      </c>
      <c r="P195" s="697">
        <f t="shared" si="46"/>
        <v>28.619386193861938</v>
      </c>
      <c r="Q195" s="697">
        <f t="shared" si="46"/>
        <v>37.049770497704976</v>
      </c>
      <c r="R195" s="697">
        <f t="shared" si="46"/>
        <v>47.102871028710283</v>
      </c>
      <c r="S195" s="697">
        <f t="shared" si="46"/>
        <v>54.055440554405543</v>
      </c>
      <c r="T195" s="697">
        <f t="shared" si="46"/>
        <v>49.675096750967512</v>
      </c>
      <c r="U195" s="697">
        <f t="shared" si="46"/>
        <v>46.519665196651964</v>
      </c>
      <c r="V195" s="697">
        <f t="shared" si="46"/>
        <v>33.343608436084352</v>
      </c>
      <c r="W195" s="697">
        <f t="shared" si="46"/>
        <v>27.000270002700024</v>
      </c>
      <c r="X195" s="697"/>
      <c r="Y195" s="697"/>
      <c r="Z195" s="697"/>
      <c r="AA195" s="697"/>
      <c r="AB195" s="697"/>
      <c r="AC195" s="697"/>
      <c r="AD195" s="697"/>
      <c r="AE195" s="697"/>
      <c r="AF195" s="697"/>
      <c r="AG195" s="697"/>
      <c r="AH195" s="697"/>
      <c r="AI195" s="697"/>
      <c r="AJ195" s="697"/>
      <c r="AK195" s="697"/>
    </row>
    <row r="196" spans="2:39" hidden="1" x14ac:dyDescent="0.3">
      <c r="B196" s="684"/>
      <c r="C196" s="698" t="str">
        <f>C195</f>
        <v>Fioul Lourd - €/MWh PCI</v>
      </c>
      <c r="D196" s="684"/>
      <c r="E196" s="684" t="s">
        <v>420</v>
      </c>
      <c r="F196" s="684"/>
      <c r="W196" s="697">
        <f>W195</f>
        <v>27.000270002700024</v>
      </c>
      <c r="X196" s="697">
        <f t="shared" ref="X196:AK196" si="47">W196*X236/W236</f>
        <v>31.273740800044457</v>
      </c>
      <c r="Y196" s="697">
        <f t="shared" si="47"/>
        <v>38.672217070691829</v>
      </c>
      <c r="Z196" s="697">
        <f t="shared" si="47"/>
        <v>47.538884426706836</v>
      </c>
      <c r="AA196" s="697">
        <f t="shared" si="47"/>
        <v>58.166879668796675</v>
      </c>
      <c r="AB196" s="697">
        <f t="shared" si="47"/>
        <v>60.818174911001655</v>
      </c>
      <c r="AC196" s="697">
        <f t="shared" si="47"/>
        <v>63.585843856490278</v>
      </c>
      <c r="AD196" s="697">
        <f t="shared" si="47"/>
        <v>66.475361272483369</v>
      </c>
      <c r="AE196" s="697">
        <f t="shared" si="47"/>
        <v>69.492477012609513</v>
      </c>
      <c r="AF196" s="697">
        <f t="shared" si="47"/>
        <v>72.643230620495459</v>
      </c>
      <c r="AG196" s="697">
        <f t="shared" si="47"/>
        <v>75.933966741248867</v>
      </c>
      <c r="AH196" s="697">
        <f t="shared" si="47"/>
        <v>79.371351386816798</v>
      </c>
      <c r="AI196" s="697">
        <f t="shared" si="47"/>
        <v>82.962389103868503</v>
      </c>
      <c r="AJ196" s="697">
        <f t="shared" si="47"/>
        <v>86.714441095674843</v>
      </c>
      <c r="AK196" s="697">
        <f t="shared" si="47"/>
        <v>90.635244352443465</v>
      </c>
    </row>
    <row r="197" spans="2:39" hidden="1" x14ac:dyDescent="0.3">
      <c r="B197" s="684"/>
      <c r="C197" s="698" t="str">
        <f>C196</f>
        <v>Fioul Lourd - €/MWh PCI</v>
      </c>
      <c r="D197" s="684"/>
      <c r="E197" s="684" t="s">
        <v>183</v>
      </c>
      <c r="F197" s="684"/>
      <c r="W197" s="697">
        <f>W196</f>
        <v>27.000270002700024</v>
      </c>
      <c r="X197" s="697">
        <f t="shared" ref="X197:AK197" si="48">W197</f>
        <v>27.000270002700024</v>
      </c>
      <c r="Y197" s="697">
        <f t="shared" si="48"/>
        <v>27.000270002700024</v>
      </c>
      <c r="Z197" s="697">
        <f t="shared" si="48"/>
        <v>27.000270002700024</v>
      </c>
      <c r="AA197" s="697">
        <f t="shared" si="48"/>
        <v>27.000270002700024</v>
      </c>
      <c r="AB197" s="697">
        <f t="shared" si="48"/>
        <v>27.000270002700024</v>
      </c>
      <c r="AC197" s="697">
        <f t="shared" si="48"/>
        <v>27.000270002700024</v>
      </c>
      <c r="AD197" s="697">
        <f t="shared" si="48"/>
        <v>27.000270002700024</v>
      </c>
      <c r="AE197" s="697">
        <f t="shared" si="48"/>
        <v>27.000270002700024</v>
      </c>
      <c r="AF197" s="697">
        <f t="shared" si="48"/>
        <v>27.000270002700024</v>
      </c>
      <c r="AG197" s="697">
        <f t="shared" si="48"/>
        <v>27.000270002700024</v>
      </c>
      <c r="AH197" s="697">
        <f t="shared" si="48"/>
        <v>27.000270002700024</v>
      </c>
      <c r="AI197" s="697">
        <f t="shared" si="48"/>
        <v>27.000270002700024</v>
      </c>
      <c r="AJ197" s="697">
        <f t="shared" si="48"/>
        <v>27.000270002700024</v>
      </c>
      <c r="AK197" s="697">
        <f t="shared" si="48"/>
        <v>27.000270002700024</v>
      </c>
    </row>
    <row r="198" spans="2:39" hidden="1" x14ac:dyDescent="0.3">
      <c r="B198" s="684"/>
      <c r="C198" s="698" t="str">
        <f>C197</f>
        <v>Fioul Lourd - €/MWh PCI</v>
      </c>
      <c r="D198" s="684"/>
      <c r="E198" s="684" t="s">
        <v>328</v>
      </c>
      <c r="F198" s="684"/>
      <c r="W198" s="697">
        <f>W197</f>
        <v>27.000270002700024</v>
      </c>
      <c r="X198" s="697">
        <f t="shared" ref="X198:AK198" ca="1" si="49">IF($V$11=1,OFFSET($F$88,X$189-$V$189,0),IF($V$11=2,OFFSET($F$88,X$189-$V$189,0)*$G$254,#N/A))</f>
        <v>28.350283502835026</v>
      </c>
      <c r="Y198" s="697">
        <f t="shared" ca="1" si="49"/>
        <v>29.76779767797678</v>
      </c>
      <c r="Z198" s="697">
        <f t="shared" ca="1" si="49"/>
        <v>31.25618756187562</v>
      </c>
      <c r="AA198" s="697">
        <f t="shared" ca="1" si="49"/>
        <v>32.818996939969402</v>
      </c>
      <c r="AB198" s="697">
        <f t="shared" ca="1" si="49"/>
        <v>34.459946786967876</v>
      </c>
      <c r="AC198" s="697">
        <f t="shared" ca="1" si="49"/>
        <v>36.182944126316272</v>
      </c>
      <c r="AD198" s="697">
        <f t="shared" ca="1" si="49"/>
        <v>37.992091332632086</v>
      </c>
      <c r="AE198" s="697">
        <f t="shared" ca="1" si="49"/>
        <v>39.891695899263695</v>
      </c>
      <c r="AF198" s="697">
        <f t="shared" ca="1" si="49"/>
        <v>41.886280694226883</v>
      </c>
      <c r="AG198" s="697">
        <f t="shared" ca="1" si="49"/>
        <v>43.980594728938229</v>
      </c>
      <c r="AH198" s="697">
        <f t="shared" ca="1" si="49"/>
        <v>46.179624465385139</v>
      </c>
      <c r="AI198" s="697">
        <f t="shared" ca="1" si="49"/>
        <v>48.488605688654395</v>
      </c>
      <c r="AJ198" s="697">
        <f t="shared" ca="1" si="49"/>
        <v>50.913035973087119</v>
      </c>
      <c r="AK198" s="697">
        <f t="shared" ca="1" si="49"/>
        <v>53.458687771741481</v>
      </c>
    </row>
    <row r="199" spans="2:39" s="118" customFormat="1" hidden="1" x14ac:dyDescent="0.3">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row>
    <row r="200" spans="2:39" hidden="1" x14ac:dyDescent="0.3">
      <c r="B200" s="685" t="str">
        <f>N43</f>
        <v>€/MWh PCI</v>
      </c>
      <c r="C200" s="699" t="str">
        <f>"Fioul domestique - "&amp;B200</f>
        <v>Fioul domestique - €/MWh PCI</v>
      </c>
      <c r="D200" s="685"/>
      <c r="E200" s="685" t="s">
        <v>182</v>
      </c>
      <c r="F200" s="685"/>
      <c r="G200" s="697" t="e">
        <v>#N/A</v>
      </c>
      <c r="H200" s="697" t="e">
        <v>#N/A</v>
      </c>
      <c r="I200" s="697" t="e">
        <v>#N/A</v>
      </c>
      <c r="J200" s="697" t="e">
        <v>#N/A</v>
      </c>
      <c r="K200" s="697">
        <f t="shared" ref="K200:W200" si="50">IF($V$12=1,K$184,IF($V$12=2,K$184*$G$259,#N/A))</f>
        <v>37.583333333333329</v>
      </c>
      <c r="L200" s="697">
        <f t="shared" si="50"/>
        <v>49.083333333333336</v>
      </c>
      <c r="M200" s="697">
        <f t="shared" si="50"/>
        <v>54.25</v>
      </c>
      <c r="N200" s="697">
        <f t="shared" si="50"/>
        <v>54.416666666666664</v>
      </c>
      <c r="O200" s="697">
        <f t="shared" si="50"/>
        <v>69.666666666666671</v>
      </c>
      <c r="P200" s="697">
        <f t="shared" si="50"/>
        <v>48.083333333333329</v>
      </c>
      <c r="Q200" s="697">
        <f t="shared" si="50"/>
        <v>59.833333333333336</v>
      </c>
      <c r="R200" s="697">
        <f t="shared" si="50"/>
        <v>74.166666666666671</v>
      </c>
      <c r="S200" s="697">
        <f t="shared" si="50"/>
        <v>81</v>
      </c>
      <c r="T200" s="697">
        <f t="shared" si="50"/>
        <v>77.5</v>
      </c>
      <c r="U200" s="697">
        <f t="shared" si="50"/>
        <v>71.833333333333329</v>
      </c>
      <c r="V200" s="697">
        <f t="shared" si="50"/>
        <v>59.26819444444444</v>
      </c>
      <c r="W200" s="697">
        <f t="shared" si="50"/>
        <v>47.300000000000004</v>
      </c>
      <c r="X200" s="697"/>
      <c r="Y200" s="697"/>
      <c r="Z200" s="697"/>
      <c r="AA200" s="697"/>
      <c r="AB200" s="697"/>
      <c r="AC200" s="697"/>
      <c r="AD200" s="697"/>
      <c r="AE200" s="697"/>
      <c r="AF200" s="697"/>
      <c r="AG200" s="697"/>
      <c r="AH200" s="697"/>
      <c r="AI200" s="697"/>
      <c r="AJ200" s="697"/>
      <c r="AK200" s="697"/>
    </row>
    <row r="201" spans="2:39" hidden="1" x14ac:dyDescent="0.3">
      <c r="B201" s="685"/>
      <c r="C201" s="699" t="str">
        <f>C200</f>
        <v>Fioul domestique - €/MWh PCI</v>
      </c>
      <c r="D201" s="685"/>
      <c r="E201" s="685" t="s">
        <v>420</v>
      </c>
      <c r="F201" s="685"/>
      <c r="W201" s="697">
        <f>W200</f>
        <v>47.300000000000004</v>
      </c>
      <c r="X201" s="697">
        <f t="shared" ref="X201:AK201" si="51">W201*X237/W237</f>
        <v>53.991483035500409</v>
      </c>
      <c r="Y201" s="697">
        <f t="shared" si="51"/>
        <v>61.062139575492282</v>
      </c>
      <c r="Z201" s="697">
        <f t="shared" si="51"/>
        <v>69.536369886853933</v>
      </c>
      <c r="AA201" s="697">
        <f t="shared" si="51"/>
        <v>79.694502896772249</v>
      </c>
      <c r="AB201" s="697">
        <f t="shared" si="51"/>
        <v>82.23049789211332</v>
      </c>
      <c r="AC201" s="697">
        <f t="shared" si="51"/>
        <v>84.87793500670044</v>
      </c>
      <c r="AD201" s="697">
        <f t="shared" si="51"/>
        <v>87.642063182458187</v>
      </c>
      <c r="AE201" s="697">
        <f t="shared" si="51"/>
        <v>90.528395376393334</v>
      </c>
      <c r="AF201" s="697">
        <f t="shared" si="51"/>
        <v>93.54272258794208</v>
      </c>
      <c r="AG201" s="697">
        <f t="shared" si="51"/>
        <v>96.691128662785459</v>
      </c>
      <c r="AH201" s="697">
        <f t="shared" si="51"/>
        <v>99.98000591734511</v>
      </c>
      <c r="AI201" s="697">
        <f t="shared" si="51"/>
        <v>103.41607163073444</v>
      </c>
      <c r="AJ201" s="697">
        <f t="shared" si="51"/>
        <v>107.00638545365609</v>
      </c>
      <c r="AK201" s="697">
        <f t="shared" si="51"/>
        <v>110.75836778660936</v>
      </c>
    </row>
    <row r="202" spans="2:39" hidden="1" x14ac:dyDescent="0.3">
      <c r="B202" s="685"/>
      <c r="C202" s="699" t="str">
        <f>C201</f>
        <v>Fioul domestique - €/MWh PCI</v>
      </c>
      <c r="D202" s="685"/>
      <c r="E202" s="685" t="s">
        <v>183</v>
      </c>
      <c r="F202" s="685"/>
      <c r="W202" s="697">
        <f>W201</f>
        <v>47.300000000000004</v>
      </c>
      <c r="X202" s="697">
        <f t="shared" ref="X202:AK202" si="52">W202</f>
        <v>47.300000000000004</v>
      </c>
      <c r="Y202" s="697">
        <f t="shared" si="52"/>
        <v>47.300000000000004</v>
      </c>
      <c r="Z202" s="697">
        <f t="shared" si="52"/>
        <v>47.300000000000004</v>
      </c>
      <c r="AA202" s="697">
        <f t="shared" si="52"/>
        <v>47.300000000000004</v>
      </c>
      <c r="AB202" s="697">
        <f t="shared" si="52"/>
        <v>47.300000000000004</v>
      </c>
      <c r="AC202" s="697">
        <f t="shared" si="52"/>
        <v>47.300000000000004</v>
      </c>
      <c r="AD202" s="697">
        <f t="shared" si="52"/>
        <v>47.300000000000004</v>
      </c>
      <c r="AE202" s="697">
        <f t="shared" si="52"/>
        <v>47.300000000000004</v>
      </c>
      <c r="AF202" s="697">
        <f t="shared" si="52"/>
        <v>47.300000000000004</v>
      </c>
      <c r="AG202" s="697">
        <f t="shared" si="52"/>
        <v>47.300000000000004</v>
      </c>
      <c r="AH202" s="697">
        <f t="shared" si="52"/>
        <v>47.300000000000004</v>
      </c>
      <c r="AI202" s="697">
        <f t="shared" si="52"/>
        <v>47.300000000000004</v>
      </c>
      <c r="AJ202" s="697">
        <f t="shared" si="52"/>
        <v>47.300000000000004</v>
      </c>
      <c r="AK202" s="697">
        <f t="shared" si="52"/>
        <v>47.300000000000004</v>
      </c>
    </row>
    <row r="203" spans="2:39" hidden="1" x14ac:dyDescent="0.3">
      <c r="B203" s="685"/>
      <c r="C203" s="699" t="str">
        <f>C202</f>
        <v>Fioul domestique - €/MWh PCI</v>
      </c>
      <c r="D203" s="685"/>
      <c r="E203" s="685" t="s">
        <v>328</v>
      </c>
      <c r="F203" s="685"/>
      <c r="W203" s="697">
        <f>W202</f>
        <v>47.300000000000004</v>
      </c>
      <c r="X203" s="697">
        <f t="shared" ref="X203:AK203" ca="1" si="53">IF($V$12=1,OFFSET($G$88,X$189-$V$189,0),IF($V$12=2,OFFSET($G$88,X$189-$V$189,0)*$G$259,#N/A))</f>
        <v>49.665000000000006</v>
      </c>
      <c r="Y203" s="697">
        <f t="shared" ca="1" si="53"/>
        <v>52.148250000000012</v>
      </c>
      <c r="Z203" s="697">
        <f t="shared" ca="1" si="53"/>
        <v>54.755662500000014</v>
      </c>
      <c r="AA203" s="697">
        <f t="shared" ca="1" si="53"/>
        <v>57.493445625000014</v>
      </c>
      <c r="AB203" s="697">
        <f t="shared" ca="1" si="53"/>
        <v>60.368117906250021</v>
      </c>
      <c r="AC203" s="697">
        <f t="shared" ca="1" si="53"/>
        <v>63.386523801562525</v>
      </c>
      <c r="AD203" s="697">
        <f t="shared" ca="1" si="53"/>
        <v>66.555849991640656</v>
      </c>
      <c r="AE203" s="697">
        <f t="shared" ca="1" si="53"/>
        <v>69.883642491222687</v>
      </c>
      <c r="AF203" s="697">
        <f t="shared" ca="1" si="53"/>
        <v>73.377824615783823</v>
      </c>
      <c r="AG203" s="697">
        <f t="shared" ca="1" si="53"/>
        <v>77.046715846573022</v>
      </c>
      <c r="AH203" s="697">
        <f t="shared" ca="1" si="53"/>
        <v>80.899051638901682</v>
      </c>
      <c r="AI203" s="697">
        <f t="shared" ca="1" si="53"/>
        <v>84.944004220846764</v>
      </c>
      <c r="AJ203" s="697">
        <f t="shared" ca="1" si="53"/>
        <v>89.191204431889105</v>
      </c>
      <c r="AK203" s="697">
        <f t="shared" ca="1" si="53"/>
        <v>93.650764653483563</v>
      </c>
    </row>
    <row r="204" spans="2:39" s="118" customFormat="1" hidden="1" x14ac:dyDescent="0.3">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row>
    <row r="205" spans="2:39" hidden="1" x14ac:dyDescent="0.3">
      <c r="B205" s="686" t="str">
        <f>E61</f>
        <v>€/MWh PCI</v>
      </c>
      <c r="C205" s="700" t="str">
        <f>"Gaz - "&amp;B205</f>
        <v>Gaz - €/MWh PCI</v>
      </c>
      <c r="D205" s="686"/>
      <c r="E205" s="686" t="s">
        <v>182</v>
      </c>
      <c r="F205" s="686"/>
      <c r="G205" s="701">
        <f t="shared" ref="G205:W205" ca="1" si="54">IF($V$13=1,G$182,IF($V$13=2,G$182*$G$267,#N/A))</f>
        <v>19.185665146788256</v>
      </c>
      <c r="H205" s="701">
        <f t="shared" ca="1" si="54"/>
        <v>23.3257339412847</v>
      </c>
      <c r="I205" s="701">
        <f t="shared" ca="1" si="54"/>
        <v>20.838332933365329</v>
      </c>
      <c r="J205" s="701">
        <f t="shared" ca="1" si="54"/>
        <v>22.238220942324613</v>
      </c>
      <c r="K205" s="701">
        <f t="shared" ca="1" si="54"/>
        <v>22.038236941044715</v>
      </c>
      <c r="L205" s="701">
        <f t="shared" ca="1" si="54"/>
        <v>26.657867370610351</v>
      </c>
      <c r="M205" s="701">
        <f t="shared" ca="1" si="54"/>
        <v>33.417326613870891</v>
      </c>
      <c r="N205" s="701">
        <f t="shared" ca="1" si="54"/>
        <v>31.317494600431964</v>
      </c>
      <c r="O205" s="701">
        <f t="shared" ca="1" si="54"/>
        <v>40.166666666666664</v>
      </c>
      <c r="P205" s="701">
        <f t="shared" ca="1" si="54"/>
        <v>37.611111111111114</v>
      </c>
      <c r="Q205" s="701">
        <f t="shared" ca="1" si="54"/>
        <v>37.777777777777779</v>
      </c>
      <c r="R205" s="701">
        <f t="shared" ca="1" si="54"/>
        <v>41.277777777777786</v>
      </c>
      <c r="S205" s="701">
        <f t="shared" ca="1" si="54"/>
        <v>43.999999999999993</v>
      </c>
      <c r="T205" s="701">
        <f t="shared" ca="1" si="54"/>
        <v>44.222222222222229</v>
      </c>
      <c r="U205" s="701">
        <f t="shared" ca="1" si="54"/>
        <v>42.55555555555555</v>
      </c>
      <c r="V205" s="701">
        <f t="shared" ca="1" si="54"/>
        <v>41.388888888888886</v>
      </c>
      <c r="W205" s="701">
        <f t="shared" ca="1" si="54"/>
        <v>40.888888888888886</v>
      </c>
      <c r="X205" s="697"/>
      <c r="Y205" s="697"/>
      <c r="Z205" s="697"/>
      <c r="AA205" s="697"/>
      <c r="AB205" s="697"/>
      <c r="AC205" s="697"/>
      <c r="AD205" s="697"/>
      <c r="AE205" s="697"/>
      <c r="AF205" s="697"/>
      <c r="AG205" s="697"/>
      <c r="AH205" s="697"/>
      <c r="AI205" s="697"/>
      <c r="AJ205" s="697"/>
      <c r="AK205" s="697"/>
    </row>
    <row r="206" spans="2:39" hidden="1" x14ac:dyDescent="0.3">
      <c r="B206" s="686"/>
      <c r="C206" s="700" t="str">
        <f>C205</f>
        <v>Gaz - €/MWh PCI</v>
      </c>
      <c r="D206" s="686"/>
      <c r="E206" s="686" t="s">
        <v>420</v>
      </c>
      <c r="F206" s="686"/>
      <c r="W206" s="701">
        <f ca="1">W205</f>
        <v>40.888888888888886</v>
      </c>
      <c r="X206" s="697">
        <f t="shared" ref="X206:AK206" ca="1" si="55">W206*X240/W240</f>
        <v>42.567536630775031</v>
      </c>
      <c r="Y206" s="697">
        <f t="shared" ca="1" si="55"/>
        <v>44.80756285048534</v>
      </c>
      <c r="Z206" s="697">
        <f t="shared" ca="1" si="55"/>
        <v>47.414921496428143</v>
      </c>
      <c r="AA206" s="697">
        <f t="shared" ca="1" si="55"/>
        <v>50.468364859683277</v>
      </c>
      <c r="AB206" s="697">
        <f t="shared" ca="1" si="55"/>
        <v>52.228416235318825</v>
      </c>
      <c r="AC206" s="697">
        <f t="shared" ca="1" si="55"/>
        <v>54.070628019679681</v>
      </c>
      <c r="AD206" s="697">
        <f t="shared" ca="1" si="55"/>
        <v>55.999060907003766</v>
      </c>
      <c r="AE206" s="697">
        <f t="shared" ca="1" si="55"/>
        <v>58.017986906031872</v>
      </c>
      <c r="AF206" s="697">
        <f t="shared" ca="1" si="55"/>
        <v>60.131900809124019</v>
      </c>
      <c r="AG206" s="697">
        <f t="shared" ca="1" si="55"/>
        <v>62.345532303832904</v>
      </c>
      <c r="AH206" s="697">
        <f t="shared" ca="1" si="55"/>
        <v>64.663858763731653</v>
      </c>
      <c r="AI206" s="697">
        <f t="shared" ca="1" si="55"/>
        <v>67.092118757432587</v>
      </c>
      <c r="AJ206" s="697">
        <f t="shared" ca="1" si="55"/>
        <v>69.635826316998475</v>
      </c>
      <c r="AK206" s="697">
        <f t="shared" ca="1" si="55"/>
        <v>72.300786009345799</v>
      </c>
    </row>
    <row r="207" spans="2:39" hidden="1" x14ac:dyDescent="0.3">
      <c r="B207" s="686"/>
      <c r="C207" s="700" t="str">
        <f>C206</f>
        <v>Gaz - €/MWh PCI</v>
      </c>
      <c r="D207" s="686"/>
      <c r="E207" s="686" t="s">
        <v>183</v>
      </c>
      <c r="F207" s="686"/>
      <c r="W207" s="701">
        <f ca="1">W206</f>
        <v>40.888888888888886</v>
      </c>
      <c r="X207" s="697">
        <f t="shared" ref="X207:AJ207" ca="1" si="56">W207</f>
        <v>40.888888888888886</v>
      </c>
      <c r="Y207" s="697">
        <f t="shared" ca="1" si="56"/>
        <v>40.888888888888886</v>
      </c>
      <c r="Z207" s="697">
        <f t="shared" ca="1" si="56"/>
        <v>40.888888888888886</v>
      </c>
      <c r="AA207" s="697">
        <f t="shared" ca="1" si="56"/>
        <v>40.888888888888886</v>
      </c>
      <c r="AB207" s="697">
        <f t="shared" ca="1" si="56"/>
        <v>40.888888888888886</v>
      </c>
      <c r="AC207" s="697">
        <f t="shared" ca="1" si="56"/>
        <v>40.888888888888886</v>
      </c>
      <c r="AD207" s="697">
        <f t="shared" ca="1" si="56"/>
        <v>40.888888888888886</v>
      </c>
      <c r="AE207" s="697">
        <f t="shared" ca="1" si="56"/>
        <v>40.888888888888886</v>
      </c>
      <c r="AF207" s="697">
        <f t="shared" ca="1" si="56"/>
        <v>40.888888888888886</v>
      </c>
      <c r="AG207" s="697">
        <f t="shared" ca="1" si="56"/>
        <v>40.888888888888886</v>
      </c>
      <c r="AH207" s="697">
        <f t="shared" ca="1" si="56"/>
        <v>40.888888888888886</v>
      </c>
      <c r="AI207" s="697">
        <f t="shared" ca="1" si="56"/>
        <v>40.888888888888886</v>
      </c>
      <c r="AJ207" s="697">
        <f t="shared" ca="1" si="56"/>
        <v>40.888888888888886</v>
      </c>
      <c r="AK207" s="697">
        <f ca="1">AJ207</f>
        <v>40.888888888888886</v>
      </c>
    </row>
    <row r="208" spans="2:39" hidden="1" x14ac:dyDescent="0.3">
      <c r="B208" s="686"/>
      <c r="C208" s="700" t="str">
        <f>C207</f>
        <v>Gaz - €/MWh PCI</v>
      </c>
      <c r="D208" s="686"/>
      <c r="E208" s="686" t="s">
        <v>328</v>
      </c>
      <c r="F208" s="686"/>
      <c r="W208" s="701">
        <f ca="1">W207</f>
        <v>40.888888888888886</v>
      </c>
      <c r="X208" s="697">
        <f t="shared" ref="X208:AK208" ca="1" si="57">IF($V$13=1,OFFSET($E$88,X$189-$V$189,0)*$G$267,IF($V$13=2,OFFSET($E$88,X$189-$V$189,0),#N/A))</f>
        <v>38.64</v>
      </c>
      <c r="Y208" s="697">
        <f t="shared" ca="1" si="57"/>
        <v>40.572000000000003</v>
      </c>
      <c r="Z208" s="697">
        <f t="shared" ca="1" si="57"/>
        <v>42.600600000000007</v>
      </c>
      <c r="AA208" s="697">
        <f t="shared" ca="1" si="57"/>
        <v>44.730630000000005</v>
      </c>
      <c r="AB208" s="697">
        <f t="shared" ca="1" si="57"/>
        <v>46.96716150000001</v>
      </c>
      <c r="AC208" s="697">
        <f t="shared" ca="1" si="57"/>
        <v>49.31551957500001</v>
      </c>
      <c r="AD208" s="697">
        <f t="shared" ca="1" si="57"/>
        <v>51.781295553750013</v>
      </c>
      <c r="AE208" s="697">
        <f t="shared" ca="1" si="57"/>
        <v>54.370360331437517</v>
      </c>
      <c r="AF208" s="697">
        <f t="shared" ca="1" si="57"/>
        <v>57.088878348009395</v>
      </c>
      <c r="AG208" s="697">
        <f t="shared" ca="1" si="57"/>
        <v>59.943322265409869</v>
      </c>
      <c r="AH208" s="697">
        <f t="shared" ca="1" si="57"/>
        <v>62.940488378680364</v>
      </c>
      <c r="AI208" s="697">
        <f t="shared" ca="1" si="57"/>
        <v>66.087512797614394</v>
      </c>
      <c r="AJ208" s="697">
        <f t="shared" ca="1" si="57"/>
        <v>69.391888437495112</v>
      </c>
      <c r="AK208" s="697">
        <f t="shared" ca="1" si="57"/>
        <v>72.861482859369872</v>
      </c>
    </row>
    <row r="209" spans="2:37" s="118" customFormat="1" hidden="1" x14ac:dyDescent="0.3">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row>
    <row r="210" spans="2:37" hidden="1" x14ac:dyDescent="0.3">
      <c r="B210" s="687" t="str">
        <f>E43</f>
        <v>€/MWh PCI</v>
      </c>
      <c r="C210" s="702" t="str">
        <f>"GPL - "&amp;B210</f>
        <v>GPL - €/MWh PCI</v>
      </c>
      <c r="D210" s="687"/>
      <c r="E210" s="687" t="s">
        <v>182</v>
      </c>
      <c r="F210" s="687"/>
      <c r="G210" s="701">
        <f t="shared" ref="G210:W210" si="58">IF($V$14=1,G$185,IF($V$14=2,G$185*$G$271,#N/A))</f>
        <v>58.721469776774526</v>
      </c>
      <c r="H210" s="701">
        <f t="shared" si="58"/>
        <v>60.08276899924757</v>
      </c>
      <c r="I210" s="701">
        <f t="shared" si="58"/>
        <v>59.593052420366192</v>
      </c>
      <c r="J210" s="701">
        <f t="shared" si="58"/>
        <v>65.791948833709554</v>
      </c>
      <c r="K210" s="701">
        <f t="shared" si="58"/>
        <v>67.662402809129674</v>
      </c>
      <c r="L210" s="701">
        <f t="shared" si="58"/>
        <v>77.25420115374969</v>
      </c>
      <c r="M210" s="701">
        <f t="shared" si="58"/>
        <v>85.719839478304493</v>
      </c>
      <c r="N210" s="701">
        <f t="shared" si="58"/>
        <v>87.114998745924268</v>
      </c>
      <c r="O210" s="701">
        <f t="shared" si="58"/>
        <v>98.355279658891405</v>
      </c>
      <c r="P210" s="701">
        <f t="shared" si="58"/>
        <v>85.617005267118145</v>
      </c>
      <c r="Q210" s="701">
        <f t="shared" si="58"/>
        <v>91.265362427890651</v>
      </c>
      <c r="R210" s="701">
        <f t="shared" si="58"/>
        <v>104.73413594181089</v>
      </c>
      <c r="S210" s="701">
        <f t="shared" si="58"/>
        <v>112.30812641083523</v>
      </c>
      <c r="T210" s="701">
        <f t="shared" si="58"/>
        <v>114.26511161274141</v>
      </c>
      <c r="U210" s="701">
        <f t="shared" si="58"/>
        <v>106.93585663824096</v>
      </c>
      <c r="V210" s="701">
        <f t="shared" si="58"/>
        <v>99.992441580971501</v>
      </c>
      <c r="W210" s="701">
        <f t="shared" si="58"/>
        <v>95.311626666875682</v>
      </c>
      <c r="X210" s="697"/>
      <c r="Y210" s="697"/>
      <c r="Z210" s="697"/>
      <c r="AA210" s="697"/>
      <c r="AB210" s="697"/>
      <c r="AC210" s="697"/>
      <c r="AD210" s="697"/>
      <c r="AE210" s="697"/>
      <c r="AF210" s="697"/>
      <c r="AG210" s="697"/>
      <c r="AH210" s="697"/>
      <c r="AI210" s="697"/>
      <c r="AJ210" s="697"/>
      <c r="AK210" s="697"/>
    </row>
    <row r="211" spans="2:37" hidden="1" x14ac:dyDescent="0.3">
      <c r="B211" s="687"/>
      <c r="C211" s="702" t="str">
        <f>C210</f>
        <v>GPL - €/MWh PCI</v>
      </c>
      <c r="D211" s="687"/>
      <c r="E211" s="687" t="s">
        <v>420</v>
      </c>
      <c r="F211" s="687"/>
      <c r="W211" s="697">
        <f>W210</f>
        <v>95.311626666875682</v>
      </c>
      <c r="X211" s="697">
        <f t="shared" ref="X211:AK211" si="59">W211*X241/W241</f>
        <v>103.17529464616072</v>
      </c>
      <c r="Y211" s="697">
        <f t="shared" si="59"/>
        <v>109.22235215130522</v>
      </c>
      <c r="Z211" s="697">
        <f t="shared" si="59"/>
        <v>116.46581133052293</v>
      </c>
      <c r="AA211" s="697">
        <f t="shared" si="59"/>
        <v>125.14377180381695</v>
      </c>
      <c r="AB211" s="697">
        <f t="shared" si="59"/>
        <v>127.29280963984768</v>
      </c>
      <c r="AC211" s="697">
        <f t="shared" si="59"/>
        <v>129.53510794656634</v>
      </c>
      <c r="AD211" s="697">
        <f t="shared" si="59"/>
        <v>131.87500311607388</v>
      </c>
      <c r="AE211" s="697">
        <f t="shared" si="59"/>
        <v>134.31704715290377</v>
      </c>
      <c r="AF211" s="697">
        <f t="shared" si="59"/>
        <v>136.86601902532766</v>
      </c>
      <c r="AG211" s="697">
        <f t="shared" si="59"/>
        <v>139.52693664087928</v>
      </c>
      <c r="AH211" s="697">
        <f t="shared" si="59"/>
        <v>142.30506948148337</v>
      </c>
      <c r="AI211" s="697">
        <f t="shared" si="59"/>
        <v>145.20595193562272</v>
      </c>
      <c r="AJ211" s="697">
        <f t="shared" si="59"/>
        <v>148.23539736714221</v>
      </c>
      <c r="AK211" s="697">
        <f t="shared" si="59"/>
        <v>151.39951296258292</v>
      </c>
    </row>
    <row r="212" spans="2:37" hidden="1" x14ac:dyDescent="0.3">
      <c r="B212" s="687"/>
      <c r="C212" s="702" t="str">
        <f>C211</f>
        <v>GPL - €/MWh PCI</v>
      </c>
      <c r="D212" s="687"/>
      <c r="E212" s="687" t="s">
        <v>183</v>
      </c>
      <c r="F212" s="687"/>
      <c r="W212" s="697">
        <f>W211</f>
        <v>95.311626666875682</v>
      </c>
      <c r="X212" s="697">
        <f t="shared" ref="X212:AK212" si="60">W212</f>
        <v>95.311626666875682</v>
      </c>
      <c r="Y212" s="697">
        <f t="shared" si="60"/>
        <v>95.311626666875682</v>
      </c>
      <c r="Z212" s="697">
        <f t="shared" si="60"/>
        <v>95.311626666875682</v>
      </c>
      <c r="AA212" s="697">
        <f t="shared" si="60"/>
        <v>95.311626666875682</v>
      </c>
      <c r="AB212" s="697">
        <f t="shared" si="60"/>
        <v>95.311626666875682</v>
      </c>
      <c r="AC212" s="697">
        <f t="shared" si="60"/>
        <v>95.311626666875682</v>
      </c>
      <c r="AD212" s="697">
        <f t="shared" si="60"/>
        <v>95.311626666875682</v>
      </c>
      <c r="AE212" s="697">
        <f t="shared" si="60"/>
        <v>95.311626666875682</v>
      </c>
      <c r="AF212" s="697">
        <f t="shared" si="60"/>
        <v>95.311626666875682</v>
      </c>
      <c r="AG212" s="697">
        <f t="shared" si="60"/>
        <v>95.311626666875682</v>
      </c>
      <c r="AH212" s="697">
        <f t="shared" si="60"/>
        <v>95.311626666875682</v>
      </c>
      <c r="AI212" s="697">
        <f t="shared" si="60"/>
        <v>95.311626666875682</v>
      </c>
      <c r="AJ212" s="697">
        <f t="shared" si="60"/>
        <v>95.311626666875682</v>
      </c>
      <c r="AK212" s="697">
        <f t="shared" si="60"/>
        <v>95.311626666875682</v>
      </c>
    </row>
    <row r="213" spans="2:37" hidden="1" x14ac:dyDescent="0.3">
      <c r="B213" s="687"/>
      <c r="C213" s="702" t="str">
        <f>C212</f>
        <v>GPL - €/MWh PCI</v>
      </c>
      <c r="D213" s="687"/>
      <c r="E213" s="687" t="s">
        <v>328</v>
      </c>
      <c r="F213" s="687"/>
      <c r="W213" s="697">
        <f>W212</f>
        <v>95.311626666875682</v>
      </c>
      <c r="X213" s="697">
        <f t="shared" ref="X213:AK213" ca="1" si="61">IF($V$14=1,OFFSET($H$88,X$189-$V$189,0),IF($V$14=2,OFFSET($H$88,X$189-$V$189,0)*$G$271,#N/A))</f>
        <v>100.07720800021947</v>
      </c>
      <c r="Y213" s="697">
        <f t="shared" ca="1" si="61"/>
        <v>105.08106840023045</v>
      </c>
      <c r="Z213" s="697">
        <f t="shared" ca="1" si="61"/>
        <v>110.33512182024198</v>
      </c>
      <c r="AA213" s="697">
        <f t="shared" ca="1" si="61"/>
        <v>115.85187791125408</v>
      </c>
      <c r="AB213" s="697">
        <f t="shared" ca="1" si="61"/>
        <v>121.64447180681678</v>
      </c>
      <c r="AC213" s="697">
        <f t="shared" ca="1" si="61"/>
        <v>127.72669539715763</v>
      </c>
      <c r="AD213" s="697">
        <f t="shared" ca="1" si="61"/>
        <v>134.11303016701552</v>
      </c>
      <c r="AE213" s="697">
        <f t="shared" ca="1" si="61"/>
        <v>140.81868167536629</v>
      </c>
      <c r="AF213" s="697">
        <f t="shared" ca="1" si="61"/>
        <v>147.85961575913461</v>
      </c>
      <c r="AG213" s="697">
        <f t="shared" ca="1" si="61"/>
        <v>155.25259654709134</v>
      </c>
      <c r="AH213" s="697">
        <f t="shared" ca="1" si="61"/>
        <v>163.01522637444592</v>
      </c>
      <c r="AI213" s="697">
        <f t="shared" ca="1" si="61"/>
        <v>171.16598769316823</v>
      </c>
      <c r="AJ213" s="697">
        <f t="shared" ca="1" si="61"/>
        <v>179.72428707782666</v>
      </c>
      <c r="AK213" s="697">
        <f t="shared" ca="1" si="61"/>
        <v>188.710501431718</v>
      </c>
    </row>
    <row r="214" spans="2:37" s="118" customFormat="1" hidden="1" x14ac:dyDescent="0.3">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row>
    <row r="215" spans="2:37" hidden="1" x14ac:dyDescent="0.3">
      <c r="B215" s="688" t="s">
        <v>62</v>
      </c>
      <c r="C215" s="703" t="s">
        <v>243</v>
      </c>
      <c r="D215" s="688"/>
      <c r="E215" s="688" t="s">
        <v>182</v>
      </c>
      <c r="F215" s="688"/>
      <c r="G215" s="701" t="e">
        <f>G181</f>
        <v>#N/A</v>
      </c>
      <c r="H215" s="701" t="e">
        <f t="shared" ref="H215:W215" si="62">H181</f>
        <v>#N/A</v>
      </c>
      <c r="I215" s="701" t="e">
        <f t="shared" si="62"/>
        <v>#N/A</v>
      </c>
      <c r="J215" s="701" t="e">
        <f t="shared" si="62"/>
        <v>#N/A</v>
      </c>
      <c r="K215" s="701" t="e">
        <f t="shared" si="62"/>
        <v>#N/A</v>
      </c>
      <c r="L215" s="701">
        <f t="shared" ca="1" si="62"/>
        <v>67.400000000000006</v>
      </c>
      <c r="M215" s="701">
        <f t="shared" ca="1" si="62"/>
        <v>67.400000000000006</v>
      </c>
      <c r="N215" s="701">
        <f t="shared" ca="1" si="62"/>
        <v>68.5</v>
      </c>
      <c r="O215" s="701">
        <f t="shared" ca="1" si="62"/>
        <v>57.249999999999993</v>
      </c>
      <c r="P215" s="701">
        <f t="shared" ca="1" si="62"/>
        <v>64.900000000000006</v>
      </c>
      <c r="Q215" s="701">
        <f t="shared" ca="1" si="62"/>
        <v>66.099999999999994</v>
      </c>
      <c r="R215" s="701">
        <f t="shared" ca="1" si="62"/>
        <v>72.099999999999994</v>
      </c>
      <c r="S215" s="701">
        <f t="shared" ca="1" si="62"/>
        <v>75.550000000000011</v>
      </c>
      <c r="T215" s="701">
        <f t="shared" ca="1" si="62"/>
        <v>78.800000000000011</v>
      </c>
      <c r="U215" s="701">
        <f t="shared" ca="1" si="62"/>
        <v>80.900000000000006</v>
      </c>
      <c r="V215" s="701">
        <f t="shared" ca="1" si="62"/>
        <v>85.75</v>
      </c>
      <c r="W215" s="701">
        <f t="shared" ca="1" si="62"/>
        <v>83.7</v>
      </c>
      <c r="X215" s="697"/>
      <c r="Y215" s="697"/>
      <c r="Z215" s="697"/>
      <c r="AA215" s="697"/>
      <c r="AB215" s="697"/>
      <c r="AC215" s="697"/>
      <c r="AD215" s="697"/>
      <c r="AE215" s="697"/>
      <c r="AF215" s="697"/>
      <c r="AG215" s="697"/>
      <c r="AH215" s="697"/>
      <c r="AI215" s="697"/>
      <c r="AJ215" s="697"/>
      <c r="AK215" s="697"/>
    </row>
    <row r="216" spans="2:37" hidden="1" x14ac:dyDescent="0.3">
      <c r="B216" s="688"/>
      <c r="C216" s="703" t="str">
        <f>C215</f>
        <v>Electricité - €/MWh</v>
      </c>
      <c r="D216" s="688"/>
      <c r="E216" s="688" t="s">
        <v>420</v>
      </c>
      <c r="F216" s="688"/>
      <c r="W216" s="697">
        <f ca="1">W215</f>
        <v>83.7</v>
      </c>
      <c r="X216" s="697">
        <f t="shared" ref="X216:AK216" ca="1" si="63">W216*X242/W242</f>
        <v>85.801175375842632</v>
      </c>
      <c r="Y216" s="697">
        <f t="shared" ca="1" si="63"/>
        <v>87.955097919666713</v>
      </c>
      <c r="Z216" s="697">
        <f t="shared" ca="1" si="63"/>
        <v>90.163091777834339</v>
      </c>
      <c r="AA216" s="697">
        <f t="shared" ca="1" si="63"/>
        <v>92.426514337612403</v>
      </c>
      <c r="AB216" s="697">
        <f t="shared" ca="1" si="63"/>
        <v>94.746757061640565</v>
      </c>
      <c r="AC216" s="697">
        <f t="shared" ca="1" si="63"/>
        <v>97.125246343347413</v>
      </c>
      <c r="AD216" s="697">
        <f t="shared" ca="1" si="63"/>
        <v>99.563444383840732</v>
      </c>
      <c r="AE216" s="697">
        <f t="shared" ca="1" si="63"/>
        <v>102.0628500908109</v>
      </c>
      <c r="AF216" s="697">
        <f t="shared" ca="1" si="63"/>
        <v>104.625</v>
      </c>
      <c r="AG216" s="697">
        <f t="shared" ca="1" si="63"/>
        <v>106.55003472938242</v>
      </c>
      <c r="AH216" s="697">
        <f t="shared" ca="1" si="63"/>
        <v>108.51048889684682</v>
      </c>
      <c r="AI216" s="697">
        <f t="shared" ca="1" si="63"/>
        <v>110.5070141979574</v>
      </c>
      <c r="AJ216" s="697">
        <f t="shared" ca="1" si="63"/>
        <v>112.54027431907016</v>
      </c>
      <c r="AK216" s="697">
        <f t="shared" ca="1" si="63"/>
        <v>114.61094515795602</v>
      </c>
    </row>
    <row r="217" spans="2:37" hidden="1" x14ac:dyDescent="0.3">
      <c r="B217" s="688"/>
      <c r="C217" s="703" t="str">
        <f>C216</f>
        <v>Electricité - €/MWh</v>
      </c>
      <c r="D217" s="688"/>
      <c r="E217" s="688" t="s">
        <v>183</v>
      </c>
      <c r="F217" s="688"/>
      <c r="W217" s="697">
        <f ca="1">W216</f>
        <v>83.7</v>
      </c>
      <c r="X217" s="697">
        <f t="shared" ref="X217:AK217" ca="1" si="64">W217</f>
        <v>83.7</v>
      </c>
      <c r="Y217" s="697">
        <f t="shared" ca="1" si="64"/>
        <v>83.7</v>
      </c>
      <c r="Z217" s="697">
        <f t="shared" ca="1" si="64"/>
        <v>83.7</v>
      </c>
      <c r="AA217" s="697">
        <f t="shared" ca="1" si="64"/>
        <v>83.7</v>
      </c>
      <c r="AB217" s="697">
        <f t="shared" ca="1" si="64"/>
        <v>83.7</v>
      </c>
      <c r="AC217" s="697">
        <f t="shared" ca="1" si="64"/>
        <v>83.7</v>
      </c>
      <c r="AD217" s="697">
        <f t="shared" ca="1" si="64"/>
        <v>83.7</v>
      </c>
      <c r="AE217" s="697">
        <f t="shared" ca="1" si="64"/>
        <v>83.7</v>
      </c>
      <c r="AF217" s="697">
        <f t="shared" ca="1" si="64"/>
        <v>83.7</v>
      </c>
      <c r="AG217" s="697">
        <f t="shared" ca="1" si="64"/>
        <v>83.7</v>
      </c>
      <c r="AH217" s="697">
        <f t="shared" ca="1" si="64"/>
        <v>83.7</v>
      </c>
      <c r="AI217" s="697">
        <f t="shared" ca="1" si="64"/>
        <v>83.7</v>
      </c>
      <c r="AJ217" s="697">
        <f t="shared" ca="1" si="64"/>
        <v>83.7</v>
      </c>
      <c r="AK217" s="697">
        <f t="shared" ca="1" si="64"/>
        <v>83.7</v>
      </c>
    </row>
    <row r="218" spans="2:37" hidden="1" x14ac:dyDescent="0.3">
      <c r="B218" s="688"/>
      <c r="C218" s="703" t="str">
        <f>C217</f>
        <v>Electricité - €/MWh</v>
      </c>
      <c r="D218" s="688"/>
      <c r="E218" s="688" t="s">
        <v>328</v>
      </c>
      <c r="F218" s="688"/>
      <c r="W218" s="697">
        <f ca="1">W217</f>
        <v>83.7</v>
      </c>
      <c r="X218" s="697">
        <f t="shared" ref="X218:AK218" ca="1" si="65">OFFSET($D$88,X$189-$V$189,0)</f>
        <v>87.885000000000005</v>
      </c>
      <c r="Y218" s="697">
        <f t="shared" ca="1" si="65"/>
        <v>92.279250000000005</v>
      </c>
      <c r="Z218" s="697">
        <f t="shared" ca="1" si="65"/>
        <v>96.893212500000004</v>
      </c>
      <c r="AA218" s="697">
        <f t="shared" ca="1" si="65"/>
        <v>101.73787312500001</v>
      </c>
      <c r="AB218" s="697">
        <f t="shared" ca="1" si="65"/>
        <v>106.82476678125001</v>
      </c>
      <c r="AC218" s="697">
        <f t="shared" ca="1" si="65"/>
        <v>112.16600512031251</v>
      </c>
      <c r="AD218" s="697">
        <f t="shared" ca="1" si="65"/>
        <v>117.77430537632813</v>
      </c>
      <c r="AE218" s="697">
        <f t="shared" ca="1" si="65"/>
        <v>123.66302064514454</v>
      </c>
      <c r="AF218" s="697">
        <f t="shared" ca="1" si="65"/>
        <v>129.84617167740177</v>
      </c>
      <c r="AG218" s="697">
        <f t="shared" ca="1" si="65"/>
        <v>136.33848026127185</v>
      </c>
      <c r="AH218" s="697">
        <f t="shared" ca="1" si="65"/>
        <v>143.15540427433547</v>
      </c>
      <c r="AI218" s="697">
        <f t="shared" ca="1" si="65"/>
        <v>150.31317448805225</v>
      </c>
      <c r="AJ218" s="697">
        <f t="shared" ca="1" si="65"/>
        <v>157.82883321245487</v>
      </c>
      <c r="AK218" s="697">
        <f t="shared" ca="1" si="65"/>
        <v>165.72027487307761</v>
      </c>
    </row>
    <row r="219" spans="2:37" hidden="1" x14ac:dyDescent="0.3"/>
    <row r="220" spans="2:37" s="118" customFormat="1" ht="15.5" hidden="1" x14ac:dyDescent="0.35">
      <c r="B220" s="705" t="s">
        <v>331</v>
      </c>
    </row>
    <row r="221" spans="2:37" s="118" customFormat="1" hidden="1" x14ac:dyDescent="0.3">
      <c r="D221" s="399"/>
      <c r="E221" s="399"/>
      <c r="F221" s="399"/>
      <c r="G221" s="399"/>
      <c r="H221" s="399"/>
      <c r="I221" s="399"/>
    </row>
    <row r="222" spans="2:37" s="118" customFormat="1" hidden="1" x14ac:dyDescent="0.3">
      <c r="C222" s="399"/>
      <c r="D222" s="399"/>
      <c r="E222" s="399"/>
      <c r="F222" s="399"/>
      <c r="G222" s="399"/>
      <c r="H222" s="399"/>
      <c r="I222" s="399"/>
    </row>
    <row r="223" spans="2:37" hidden="1" x14ac:dyDescent="0.3">
      <c r="B223" s="385" t="s">
        <v>209</v>
      </c>
      <c r="D223" s="897" t="s">
        <v>210</v>
      </c>
      <c r="E223" s="897"/>
      <c r="F223" s="897"/>
      <c r="G223" s="897"/>
      <c r="H223" s="897"/>
      <c r="I223" s="897"/>
    </row>
    <row r="224" spans="2:37" hidden="1" x14ac:dyDescent="0.3">
      <c r="C224" s="385"/>
      <c r="D224" s="897"/>
      <c r="E224" s="897"/>
      <c r="F224" s="897"/>
      <c r="G224" s="897"/>
      <c r="H224" s="897"/>
      <c r="I224" s="897"/>
    </row>
    <row r="225" spans="2:47" hidden="1" x14ac:dyDescent="0.3">
      <c r="C225" s="385"/>
      <c r="D225" s="897"/>
      <c r="E225" s="897"/>
      <c r="F225" s="897"/>
      <c r="G225" s="897"/>
      <c r="H225" s="897"/>
      <c r="I225" s="897"/>
    </row>
    <row r="226" spans="2:47" hidden="1" x14ac:dyDescent="0.3">
      <c r="C226" s="403"/>
      <c r="D226" s="897"/>
      <c r="E226" s="897"/>
      <c r="F226" s="897"/>
      <c r="G226" s="897"/>
      <c r="H226" s="897"/>
      <c r="I226" s="897"/>
    </row>
    <row r="227" spans="2:47" ht="14.5" hidden="1" thickBot="1" x14ac:dyDescent="0.35">
      <c r="C227" s="403"/>
      <c r="D227" s="403"/>
      <c r="E227" s="403"/>
      <c r="F227" s="403"/>
      <c r="G227" s="403"/>
      <c r="H227" s="403"/>
      <c r="I227" s="403"/>
    </row>
    <row r="228" spans="2:47" ht="14.5" hidden="1" thickBot="1" x14ac:dyDescent="0.35">
      <c r="E228" s="400">
        <v>2012</v>
      </c>
      <c r="F228" s="722">
        <v>2020</v>
      </c>
      <c r="G228" s="722">
        <v>2025</v>
      </c>
      <c r="H228" s="722">
        <v>2030</v>
      </c>
      <c r="I228" s="401">
        <v>2035</v>
      </c>
    </row>
    <row r="229" spans="2:47" ht="14.5" hidden="1" thickBot="1" x14ac:dyDescent="0.35">
      <c r="C229" s="723" t="s">
        <v>176</v>
      </c>
      <c r="D229" s="723" t="s">
        <v>76</v>
      </c>
      <c r="E229" s="724">
        <v>120</v>
      </c>
      <c r="F229" s="725">
        <v>150</v>
      </c>
      <c r="G229" s="726"/>
      <c r="H229" s="725">
        <v>155</v>
      </c>
      <c r="I229" s="727">
        <v>157</v>
      </c>
      <c r="J229" s="11" t="s">
        <v>422</v>
      </c>
    </row>
    <row r="230" spans="2:47" hidden="1" x14ac:dyDescent="0.3">
      <c r="F230" s="404"/>
    </row>
    <row r="231" spans="2:47" hidden="1" x14ac:dyDescent="0.3">
      <c r="C231" s="392"/>
      <c r="G231" s="404"/>
    </row>
    <row r="232" spans="2:47" hidden="1" x14ac:dyDescent="0.3">
      <c r="C232" s="691" t="s">
        <v>8</v>
      </c>
      <c r="D232" s="691" t="s">
        <v>120</v>
      </c>
      <c r="E232" s="691" t="s">
        <v>9</v>
      </c>
      <c r="F232" s="691" t="s">
        <v>10</v>
      </c>
      <c r="G232" s="404"/>
      <c r="U232" s="691">
        <f>V232-1</f>
        <v>2014</v>
      </c>
      <c r="V232" s="691">
        <f>W232-1</f>
        <v>2015</v>
      </c>
      <c r="W232" s="730">
        <f>$D$135</f>
        <v>2016</v>
      </c>
      <c r="X232" s="690">
        <f>W232+1</f>
        <v>2017</v>
      </c>
      <c r="Y232" s="690">
        <f t="shared" ref="Y232:AU232" si="66">X232+1</f>
        <v>2018</v>
      </c>
      <c r="Z232" s="690">
        <f t="shared" si="66"/>
        <v>2019</v>
      </c>
      <c r="AA232" s="690">
        <f t="shared" si="66"/>
        <v>2020</v>
      </c>
      <c r="AB232" s="690">
        <f t="shared" si="66"/>
        <v>2021</v>
      </c>
      <c r="AC232" s="690">
        <f t="shared" si="66"/>
        <v>2022</v>
      </c>
      <c r="AD232" s="690">
        <f t="shared" si="66"/>
        <v>2023</v>
      </c>
      <c r="AE232" s="690">
        <f t="shared" si="66"/>
        <v>2024</v>
      </c>
      <c r="AF232" s="690">
        <f t="shared" si="66"/>
        <v>2025</v>
      </c>
      <c r="AG232" s="690">
        <f t="shared" si="66"/>
        <v>2026</v>
      </c>
      <c r="AH232" s="690">
        <f t="shared" si="66"/>
        <v>2027</v>
      </c>
      <c r="AI232" s="690">
        <f t="shared" si="66"/>
        <v>2028</v>
      </c>
      <c r="AJ232" s="690">
        <f t="shared" si="66"/>
        <v>2029</v>
      </c>
      <c r="AK232" s="690">
        <f t="shared" si="66"/>
        <v>2030</v>
      </c>
      <c r="AL232" s="690">
        <f t="shared" si="66"/>
        <v>2031</v>
      </c>
      <c r="AM232" s="690">
        <f t="shared" si="66"/>
        <v>2032</v>
      </c>
      <c r="AN232" s="690">
        <f t="shared" si="66"/>
        <v>2033</v>
      </c>
      <c r="AO232" s="690">
        <f t="shared" si="66"/>
        <v>2034</v>
      </c>
      <c r="AP232" s="690">
        <f t="shared" si="66"/>
        <v>2035</v>
      </c>
      <c r="AQ232" s="690">
        <f t="shared" si="66"/>
        <v>2036</v>
      </c>
      <c r="AR232" s="690">
        <f t="shared" si="66"/>
        <v>2037</v>
      </c>
      <c r="AS232" s="690">
        <f t="shared" si="66"/>
        <v>2038</v>
      </c>
      <c r="AT232" s="690">
        <f t="shared" si="66"/>
        <v>2039</v>
      </c>
      <c r="AU232" s="690">
        <f t="shared" si="66"/>
        <v>2040</v>
      </c>
    </row>
    <row r="233" spans="2:47" hidden="1" x14ac:dyDescent="0.3">
      <c r="B233" s="694" t="str">
        <f t="shared" ref="B233:B242" si="67">C233&amp;D233&amp;F233</f>
        <v>PétroleRéférence$/bl</v>
      </c>
      <c r="C233" s="694" t="s">
        <v>59</v>
      </c>
      <c r="D233" s="694" t="s">
        <v>418</v>
      </c>
      <c r="E233" s="694" t="s">
        <v>121</v>
      </c>
      <c r="F233" s="694" t="s">
        <v>1</v>
      </c>
      <c r="G233" s="404"/>
      <c r="W233" s="693">
        <f>'Prix historique'!U20</f>
        <v>40</v>
      </c>
      <c r="X233" s="683">
        <f>W233*($AA233/$W233)^(1/($AA$232-$W$232))</f>
        <v>47.568284600108839</v>
      </c>
      <c r="Y233" s="683">
        <f t="shared" ref="Y233:Z233" si="68">X233*($AA233/$W233)^(1/($AA$232-$W$232))</f>
        <v>56.568542494923797</v>
      </c>
      <c r="Z233" s="683">
        <f t="shared" si="68"/>
        <v>67.271713220297158</v>
      </c>
      <c r="AA233" s="693">
        <v>80</v>
      </c>
      <c r="AB233" s="683">
        <f>AA233*($AK233/$AA233)^(1/($AK$232-$AA$232))</f>
        <v>82.811153222749653</v>
      </c>
      <c r="AC233" s="683">
        <f t="shared" ref="AC233:AJ233" si="69">AB233*($AK233/$AA233)^(1/($AK$232-$AA$232))</f>
        <v>85.721088726021506</v>
      </c>
      <c r="AD233" s="683">
        <f t="shared" si="69"/>
        <v>88.733277661393558</v>
      </c>
      <c r="AE233" s="683">
        <f t="shared" si="69"/>
        <v>91.851313154680639</v>
      </c>
      <c r="AF233" s="683">
        <f t="shared" si="69"/>
        <v>95.078914592037748</v>
      </c>
      <c r="AG233" s="683">
        <f t="shared" si="69"/>
        <v>98.419932056674583</v>
      </c>
      <c r="AH233" s="683">
        <f t="shared" si="69"/>
        <v>101.87835092147363</v>
      </c>
      <c r="AI233" s="683">
        <f t="shared" si="69"/>
        <v>105.45829660299013</v>
      </c>
      <c r="AJ233" s="683">
        <f t="shared" si="69"/>
        <v>109.16403948250495</v>
      </c>
      <c r="AK233" s="693">
        <v>113</v>
      </c>
      <c r="AL233" s="683">
        <f>AK233*($AU233/$AK233)^(1/($AU$232-$AK$232))</f>
        <v>114.41727390648663</v>
      </c>
      <c r="AM233" s="683">
        <f t="shared" ref="AM233:AT233" si="70">AL233*($AU233/$AK233)^(1/($AU$232-$AK$232))</f>
        <v>115.85232361231846</v>
      </c>
      <c r="AN233" s="683">
        <f t="shared" si="70"/>
        <v>117.3053720659608</v>
      </c>
      <c r="AO233" s="683">
        <f t="shared" si="70"/>
        <v>118.77664501215365</v>
      </c>
      <c r="AP233" s="683">
        <f t="shared" si="70"/>
        <v>120.26637102698331</v>
      </c>
      <c r="AQ233" s="683">
        <f t="shared" si="70"/>
        <v>121.77478155339378</v>
      </c>
      <c r="AR233" s="683">
        <f t="shared" si="70"/>
        <v>123.30211093714364</v>
      </c>
      <c r="AS233" s="683">
        <f t="shared" si="70"/>
        <v>124.84859646321385</v>
      </c>
      <c r="AT233" s="683">
        <f t="shared" si="70"/>
        <v>126.41447839267219</v>
      </c>
      <c r="AU233" s="693">
        <v>128</v>
      </c>
    </row>
    <row r="234" spans="2:47" hidden="1" x14ac:dyDescent="0.3">
      <c r="B234" s="694" t="str">
        <f t="shared" si="67"/>
        <v>PétroleRéférence€/tonne</v>
      </c>
      <c r="C234" s="694" t="s">
        <v>59</v>
      </c>
      <c r="D234" s="694" t="s">
        <v>418</v>
      </c>
      <c r="E234" s="694" t="s">
        <v>121</v>
      </c>
      <c r="F234" s="694" t="s">
        <v>0</v>
      </c>
      <c r="G234" s="404"/>
      <c r="W234" s="683">
        <f t="shared" ref="W234:AP234" si="71">W233*$G$274*$G$252</f>
        <v>269.74400000000003</v>
      </c>
      <c r="X234" s="683">
        <f t="shared" si="71"/>
        <v>320.78148402929401</v>
      </c>
      <c r="Y234" s="683">
        <f t="shared" si="71"/>
        <v>381.47562316876815</v>
      </c>
      <c r="Z234" s="683">
        <f t="shared" si="71"/>
        <v>453.65352527239594</v>
      </c>
      <c r="AA234" s="683">
        <f t="shared" si="71"/>
        <v>539.48800000000006</v>
      </c>
      <c r="AB234" s="683">
        <f t="shared" si="71"/>
        <v>558.4452928729346</v>
      </c>
      <c r="AC234" s="683">
        <f t="shared" si="71"/>
        <v>578.06873393279875</v>
      </c>
      <c r="AD234" s="683">
        <f t="shared" si="71"/>
        <v>598.38173123737363</v>
      </c>
      <c r="AE234" s="683">
        <f t="shared" si="71"/>
        <v>619.40851538990432</v>
      </c>
      <c r="AF234" s="683">
        <f t="shared" si="71"/>
        <v>641.17416844286583</v>
      </c>
      <c r="AG234" s="683">
        <f t="shared" si="71"/>
        <v>663.70465381739075</v>
      </c>
      <c r="AH234" s="683">
        <f t="shared" si="71"/>
        <v>687.0268472740496</v>
      </c>
      <c r="AI234" s="683">
        <f t="shared" si="71"/>
        <v>711.16856897192429</v>
      </c>
      <c r="AJ234" s="683">
        <f t="shared" si="71"/>
        <v>736.1586166542204</v>
      </c>
      <c r="AK234" s="683">
        <f t="shared" si="71"/>
        <v>762.02680000000009</v>
      </c>
      <c r="AL234" s="683">
        <f t="shared" si="71"/>
        <v>771.5843283157833</v>
      </c>
      <c r="AM234" s="683">
        <f t="shared" si="71"/>
        <v>781.2617295120308</v>
      </c>
      <c r="AN234" s="683">
        <f t="shared" si="71"/>
        <v>791.06050706401322</v>
      </c>
      <c r="AO234" s="683">
        <f t="shared" si="71"/>
        <v>800.98218330395935</v>
      </c>
      <c r="AP234" s="683">
        <f t="shared" si="71"/>
        <v>811.02829965756473</v>
      </c>
    </row>
    <row r="235" spans="2:47" hidden="1" x14ac:dyDescent="0.3">
      <c r="B235" s="694" t="str">
        <f t="shared" si="67"/>
        <v>PétroleRéférence€/ l</v>
      </c>
      <c r="C235" s="694" t="s">
        <v>59</v>
      </c>
      <c r="D235" s="694" t="s">
        <v>418</v>
      </c>
      <c r="E235" s="694" t="s">
        <v>121</v>
      </c>
      <c r="F235" s="694" t="s">
        <v>87</v>
      </c>
      <c r="G235" s="404"/>
      <c r="W235" s="683">
        <f t="shared" ref="W235:AP235" si="72">W233*$G$274/$G$249</f>
        <v>0.23146502896772259</v>
      </c>
      <c r="X235" s="683">
        <f t="shared" si="72"/>
        <v>0.27525985932272662</v>
      </c>
      <c r="Y235" s="683">
        <f t="shared" si="72"/>
        <v>0.32734098318123456</v>
      </c>
      <c r="Z235" s="683">
        <f t="shared" si="72"/>
        <v>0.38927622623111019</v>
      </c>
      <c r="AA235" s="683">
        <f t="shared" si="72"/>
        <v>0.46293005793544517</v>
      </c>
      <c r="AB235" s="683">
        <f t="shared" si="72"/>
        <v>0.47919714948885656</v>
      </c>
      <c r="AC235" s="683">
        <f t="shared" si="72"/>
        <v>0.49603585712783216</v>
      </c>
      <c r="AD235" s="683">
        <f t="shared" si="72"/>
        <v>0.51346626710738574</v>
      </c>
      <c r="AE235" s="683">
        <f t="shared" si="72"/>
        <v>0.53150917150178778</v>
      </c>
      <c r="AF235" s="683">
        <f t="shared" si="72"/>
        <v>0.55018609300664101</v>
      </c>
      <c r="AG235" s="683">
        <f t="shared" si="72"/>
        <v>0.56951931061248673</v>
      </c>
      <c r="AH235" s="683">
        <f t="shared" si="72"/>
        <v>0.58953188618056751</v>
      </c>
      <c r="AI235" s="683">
        <f t="shared" si="72"/>
        <v>0.61024769195244477</v>
      </c>
      <c r="AJ235" s="683">
        <f t="shared" si="72"/>
        <v>0.63169143902629044</v>
      </c>
      <c r="AK235" s="683">
        <f t="shared" si="72"/>
        <v>0.65388870683381628</v>
      </c>
      <c r="AL235" s="683">
        <f t="shared" si="72"/>
        <v>0.66208994047931946</v>
      </c>
      <c r="AM235" s="683">
        <f t="shared" si="72"/>
        <v>0.67039403602258152</v>
      </c>
      <c r="AN235" s="683">
        <f t="shared" si="72"/>
        <v>0.67880228358292727</v>
      </c>
      <c r="AO235" s="683">
        <f t="shared" si="72"/>
        <v>0.68731598946067618</v>
      </c>
      <c r="AP235" s="683">
        <f t="shared" si="72"/>
        <v>0.69593647634008915</v>
      </c>
    </row>
    <row r="236" spans="2:47" hidden="1" x14ac:dyDescent="0.3">
      <c r="B236" s="684" t="str">
        <f t="shared" si="67"/>
        <v>Fioul lourdRéférence€/tonne</v>
      </c>
      <c r="C236" s="698" t="s">
        <v>15</v>
      </c>
      <c r="D236" s="684" t="s">
        <v>418</v>
      </c>
      <c r="E236" s="684"/>
      <c r="F236" s="684" t="s">
        <v>0</v>
      </c>
      <c r="G236" s="404"/>
      <c r="W236" s="693">
        <f>'Prix historique'!U10</f>
        <v>300</v>
      </c>
      <c r="X236" s="683">
        <f t="shared" ref="X236:AP236" si="73">(X$243-$W$243)*$G$253+X$234*$G$251</f>
        <v>347.48253402929402</v>
      </c>
      <c r="Y236" s="683">
        <f t="shared" si="73"/>
        <v>429.68700387245701</v>
      </c>
      <c r="Z236" s="683">
        <f t="shared" si="73"/>
        <v>528.20454486513984</v>
      </c>
      <c r="AA236" s="683">
        <f t="shared" si="73"/>
        <v>646.29220000000009</v>
      </c>
      <c r="AB236" s="683">
        <f t="shared" si="73"/>
        <v>675.75074143613972</v>
      </c>
      <c r="AC236" s="683">
        <f t="shared" si="73"/>
        <v>706.50231108946389</v>
      </c>
      <c r="AD236" s="683">
        <f t="shared" si="73"/>
        <v>738.60773909856312</v>
      </c>
      <c r="AE236" s="683">
        <f t="shared" si="73"/>
        <v>772.13091208710478</v>
      </c>
      <c r="AF236" s="683">
        <f t="shared" si="73"/>
        <v>807.1389354243255</v>
      </c>
      <c r="AG236" s="683">
        <f t="shared" si="73"/>
        <v>843.70230446201674</v>
      </c>
      <c r="AH236" s="683">
        <f t="shared" si="73"/>
        <v>881.89508525892199</v>
      </c>
      <c r="AI236" s="683">
        <f t="shared" si="73"/>
        <v>921.7951053330836</v>
      </c>
      <c r="AJ236" s="683">
        <f t="shared" si="73"/>
        <v>963.48415501404395</v>
      </c>
      <c r="AK236" s="683">
        <f t="shared" si="73"/>
        <v>1007.0482000000002</v>
      </c>
      <c r="AL236" s="683">
        <f t="shared" si="73"/>
        <v>1035.3579578929352</v>
      </c>
      <c r="AM236" s="683">
        <f t="shared" si="73"/>
        <v>1064.90701729179</v>
      </c>
      <c r="AN236" s="683">
        <f t="shared" si="73"/>
        <v>1095.7637068161373</v>
      </c>
      <c r="AO236" s="683">
        <f t="shared" si="73"/>
        <v>1128.0003631203888</v>
      </c>
      <c r="AP236" s="683">
        <f t="shared" si="73"/>
        <v>1161.6935692673142</v>
      </c>
    </row>
    <row r="237" spans="2:47" hidden="1" x14ac:dyDescent="0.3">
      <c r="B237" s="685" t="str">
        <f t="shared" si="67"/>
        <v>Fioul domestiqueRéférence€/l</v>
      </c>
      <c r="C237" s="699" t="s">
        <v>128</v>
      </c>
      <c r="D237" s="685" t="s">
        <v>418</v>
      </c>
      <c r="E237" s="685"/>
      <c r="F237" s="685" t="s">
        <v>86</v>
      </c>
      <c r="G237" s="404"/>
      <c r="W237" s="683">
        <f>$D$141*$G$258</f>
        <v>0.47300000000000003</v>
      </c>
      <c r="X237" s="683">
        <f t="shared" ref="X237:AP237" si="74">(X$243-$W$243)*$G$257+($W$237-$W$235)+X235</f>
        <v>0.53991483035500409</v>
      </c>
      <c r="Y237" s="683">
        <f t="shared" si="74"/>
        <v>0.6106213957549228</v>
      </c>
      <c r="Z237" s="683">
        <f t="shared" si="74"/>
        <v>0.69536369886853944</v>
      </c>
      <c r="AA237" s="683">
        <f t="shared" si="74"/>
        <v>0.79694502896772268</v>
      </c>
      <c r="AB237" s="683">
        <f t="shared" si="74"/>
        <v>0.82230497892113341</v>
      </c>
      <c r="AC237" s="683">
        <f t="shared" si="74"/>
        <v>0.84877935006700456</v>
      </c>
      <c r="AD237" s="683">
        <f t="shared" si="74"/>
        <v>0.87642063182458196</v>
      </c>
      <c r="AE237" s="683">
        <f t="shared" si="74"/>
        <v>0.90528395376393345</v>
      </c>
      <c r="AF237" s="683">
        <f t="shared" si="74"/>
        <v>0.93542722587942095</v>
      </c>
      <c r="AG237" s="683">
        <f t="shared" si="74"/>
        <v>0.96691128662785486</v>
      </c>
      <c r="AH237" s="683">
        <f t="shared" si="74"/>
        <v>0.99980005917345138</v>
      </c>
      <c r="AI237" s="683">
        <f t="shared" si="74"/>
        <v>1.0341607163073445</v>
      </c>
      <c r="AJ237" s="683">
        <f t="shared" si="74"/>
        <v>1.0700638545365611</v>
      </c>
      <c r="AK237" s="683">
        <f t="shared" si="74"/>
        <v>1.1075836778660937</v>
      </c>
      <c r="AL237" s="683">
        <f t="shared" si="74"/>
        <v>1.132022158654453</v>
      </c>
      <c r="AM237" s="683">
        <f t="shared" si="74"/>
        <v>1.1575327961743143</v>
      </c>
      <c r="AN237" s="683">
        <f t="shared" si="74"/>
        <v>1.1841747433382741</v>
      </c>
      <c r="AO237" s="683">
        <f t="shared" si="74"/>
        <v>1.2120106234034327</v>
      </c>
      <c r="AP237" s="683">
        <f t="shared" si="74"/>
        <v>1.241106736373264</v>
      </c>
    </row>
    <row r="238" spans="2:47" hidden="1" x14ac:dyDescent="0.3">
      <c r="B238" s="686" t="str">
        <f t="shared" si="67"/>
        <v>Gaz naturelRéférence$/MBTU</v>
      </c>
      <c r="C238" s="700" t="s">
        <v>58</v>
      </c>
      <c r="D238" s="686" t="s">
        <v>418</v>
      </c>
      <c r="E238" s="686" t="s">
        <v>177</v>
      </c>
      <c r="F238" s="686" t="s">
        <v>71</v>
      </c>
      <c r="G238" s="404"/>
      <c r="W238" s="693">
        <f>'Prix historique'!$U$68</f>
        <v>7</v>
      </c>
      <c r="X238" s="683">
        <f>W238*($AA238/$W238)^(1/($AA$232-$W$232))</f>
        <v>7.1919586320661821</v>
      </c>
      <c r="Y238" s="683">
        <f t="shared" ref="Y238:Z238" si="75">X238*($AA238/$W238)^(1/($AA$232-$W$232))</f>
        <v>7.3891812807644675</v>
      </c>
      <c r="Z238" s="683">
        <f t="shared" si="75"/>
        <v>7.5918122994422657</v>
      </c>
      <c r="AA238" s="693">
        <v>7.8</v>
      </c>
      <c r="AB238" s="683">
        <f>AA238*($AK238/$AA238)^(1/($AK$232-$AA$232))</f>
        <v>8.0873631471443055</v>
      </c>
      <c r="AC238" s="683">
        <f t="shared" ref="AC238:AJ238" si="76">AB238*($AK238/$AA238)^(1/($AK$232-$AA$232))</f>
        <v>8.3853131633061349</v>
      </c>
      <c r="AD238" s="683">
        <f t="shared" si="76"/>
        <v>8.6942400838700102</v>
      </c>
      <c r="AE238" s="683">
        <f t="shared" si="76"/>
        <v>9.0145483136814271</v>
      </c>
      <c r="AF238" s="683">
        <f t="shared" si="76"/>
        <v>9.3466571564383365</v>
      </c>
      <c r="AG238" s="683">
        <f t="shared" si="76"/>
        <v>9.6910013635861532</v>
      </c>
      <c r="AH238" s="683">
        <f t="shared" si="76"/>
        <v>10.048031703434855</v>
      </c>
      <c r="AI238" s="683">
        <f t="shared" si="76"/>
        <v>10.418215551243163</v>
      </c>
      <c r="AJ238" s="683">
        <f t="shared" si="76"/>
        <v>10.802037501042264</v>
      </c>
      <c r="AK238" s="683">
        <v>11.2</v>
      </c>
      <c r="AL238" s="683">
        <f>AK238*($AU238/$AK238)^(1/($AU$232-$AK$232))</f>
        <v>11.314578735077808</v>
      </c>
      <c r="AM238" s="683">
        <f t="shared" ref="AM238:AT238" si="77">AL238*($AU238/$AK238)^(1/($AU$232-$AK$232))</f>
        <v>11.430329638595975</v>
      </c>
      <c r="AN238" s="683">
        <f t="shared" si="77"/>
        <v>11.547264702123895</v>
      </c>
      <c r="AO238" s="683">
        <f t="shared" si="77"/>
        <v>11.665396039907643</v>
      </c>
      <c r="AP238" s="683">
        <f t="shared" si="77"/>
        <v>11.78473589012499</v>
      </c>
      <c r="AQ238" s="683">
        <f t="shared" si="77"/>
        <v>11.905296616153255</v>
      </c>
      <c r="AR238" s="683">
        <f t="shared" si="77"/>
        <v>12.027090707850125</v>
      </c>
      <c r="AS238" s="683">
        <f t="shared" si="77"/>
        <v>12.150130782847581</v>
      </c>
      <c r="AT238" s="683">
        <f t="shared" si="77"/>
        <v>12.274429587859064</v>
      </c>
      <c r="AU238" s="683">
        <v>12.4</v>
      </c>
    </row>
    <row r="239" spans="2:47" hidden="1" x14ac:dyDescent="0.3">
      <c r="B239" s="686" t="str">
        <f t="shared" si="67"/>
        <v>Gaz naturelRéférence€/MWh</v>
      </c>
      <c r="C239" s="700" t="s">
        <v>58</v>
      </c>
      <c r="D239" s="686" t="s">
        <v>418</v>
      </c>
      <c r="E239" s="686" t="s">
        <v>177</v>
      </c>
      <c r="F239" s="686" t="s">
        <v>62</v>
      </c>
      <c r="G239" s="404"/>
      <c r="W239" s="683">
        <f t="shared" ref="W239:AP239" si="78">W238/$G$263*$G$274</f>
        <v>21.974192130257009</v>
      </c>
      <c r="X239" s="683">
        <f t="shared" si="78"/>
        <v>22.576782967697522</v>
      </c>
      <c r="Y239" s="683">
        <f t="shared" si="78"/>
        <v>23.195898449830995</v>
      </c>
      <c r="Z239" s="683">
        <f t="shared" si="78"/>
        <v>23.831991726398943</v>
      </c>
      <c r="AA239" s="683">
        <f t="shared" si="78"/>
        <v>24.485528373714949</v>
      </c>
      <c r="AB239" s="683">
        <f t="shared" si="78"/>
        <v>25.38761023178699</v>
      </c>
      <c r="AC239" s="683">
        <f t="shared" si="78"/>
        <v>26.322926074694593</v>
      </c>
      <c r="AD239" s="683">
        <f t="shared" si="78"/>
        <v>27.292700289934487</v>
      </c>
      <c r="AE239" s="683">
        <f t="shared" si="78"/>
        <v>28.29820237318857</v>
      </c>
      <c r="AF239" s="683">
        <f t="shared" si="78"/>
        <v>29.340748590173948</v>
      </c>
      <c r="AG239" s="683">
        <f t="shared" si="78"/>
        <v>30.421703699717824</v>
      </c>
      <c r="AH239" s="683">
        <f t="shared" si="78"/>
        <v>31.542482740313012</v>
      </c>
      <c r="AI239" s="683">
        <f t="shared" si="78"/>
        <v>32.704552882492671</v>
      </c>
      <c r="AJ239" s="683">
        <f t="shared" si="78"/>
        <v>33.90943534944914</v>
      </c>
      <c r="AK239" s="683">
        <f t="shared" si="78"/>
        <v>35.15870740841121</v>
      </c>
      <c r="AL239" s="683">
        <f t="shared" si="78"/>
        <v>35.518389571074295</v>
      </c>
      <c r="AM239" s="683">
        <f t="shared" si="78"/>
        <v>35.881751370097014</v>
      </c>
      <c r="AN239" s="683">
        <f t="shared" si="78"/>
        <v>36.24883044905792</v>
      </c>
      <c r="AO239" s="683">
        <f t="shared" si="78"/>
        <v>36.619664836638542</v>
      </c>
      <c r="AP239" s="683">
        <f t="shared" si="78"/>
        <v>36.994292950563128</v>
      </c>
    </row>
    <row r="240" spans="2:47" hidden="1" x14ac:dyDescent="0.3">
      <c r="B240" s="686" t="str">
        <f t="shared" si="67"/>
        <v>Gaz naturelRéférence€/MWh PCS</v>
      </c>
      <c r="C240" s="700" t="s">
        <v>58</v>
      </c>
      <c r="D240" s="686" t="s">
        <v>418</v>
      </c>
      <c r="E240" s="686" t="s">
        <v>178</v>
      </c>
      <c r="F240" s="686" t="s">
        <v>63</v>
      </c>
      <c r="G240" s="404"/>
      <c r="W240" s="693">
        <f ca="1">'Prix historique'!$U$41</f>
        <v>36.799999999999997</v>
      </c>
      <c r="X240" s="683">
        <f t="shared" ref="X240:AP240" si="79">X239+$G$266+(X$243-$W$243)*$G$262</f>
        <v>38.310782967697527</v>
      </c>
      <c r="Y240" s="683">
        <f t="shared" si="79"/>
        <v>40.326806565436804</v>
      </c>
      <c r="Z240" s="683">
        <f t="shared" si="79"/>
        <v>42.673429346785326</v>
      </c>
      <c r="AA240" s="683">
        <f t="shared" si="79"/>
        <v>45.421528373714949</v>
      </c>
      <c r="AB240" s="683">
        <f t="shared" si="79"/>
        <v>47.00557461178694</v>
      </c>
      <c r="AC240" s="683">
        <f t="shared" si="79"/>
        <v>48.663565217711714</v>
      </c>
      <c r="AD240" s="683">
        <f t="shared" si="79"/>
        <v>50.399154816303394</v>
      </c>
      <c r="AE240" s="683">
        <f t="shared" si="79"/>
        <v>52.216188215428687</v>
      </c>
      <c r="AF240" s="683">
        <f t="shared" si="79"/>
        <v>54.118710728211624</v>
      </c>
      <c r="AG240" s="683">
        <f t="shared" si="79"/>
        <v>56.11097907344962</v>
      </c>
      <c r="AH240" s="683">
        <f t="shared" si="79"/>
        <v>58.197472887358494</v>
      </c>
      <c r="AI240" s="683">
        <f t="shared" si="79"/>
        <v>60.382906881689337</v>
      </c>
      <c r="AJ240" s="683">
        <f t="shared" si="79"/>
        <v>62.672243685298625</v>
      </c>
      <c r="AK240" s="683">
        <f t="shared" si="79"/>
        <v>65.070707408411209</v>
      </c>
      <c r="AL240" s="683">
        <f t="shared" si="79"/>
        <v>66.648183106788494</v>
      </c>
      <c r="AM240" s="683">
        <f t="shared" si="79"/>
        <v>68.302035554056161</v>
      </c>
      <c r="AN240" s="683">
        <f t="shared" si="79"/>
        <v>70.036642103288116</v>
      </c>
      <c r="AO240" s="683">
        <f t="shared" si="79"/>
        <v>71.85663955492447</v>
      </c>
      <c r="AP240" s="683">
        <f t="shared" si="79"/>
        <v>73.766939625630414</v>
      </c>
    </row>
    <row r="241" spans="2:42" hidden="1" x14ac:dyDescent="0.3">
      <c r="B241" s="687" t="str">
        <f t="shared" si="67"/>
        <v>GPLRéférence€/tonne</v>
      </c>
      <c r="C241" s="702" t="s">
        <v>18</v>
      </c>
      <c r="D241" s="687" t="s">
        <v>418</v>
      </c>
      <c r="E241" s="687"/>
      <c r="F241" s="687" t="s">
        <v>0</v>
      </c>
      <c r="G241" s="404"/>
      <c r="W241" s="693">
        <f>'Prix historique'!$U$12</f>
        <v>1266.6915184027778</v>
      </c>
      <c r="X241" s="683">
        <f t="shared" ref="X241:AP241" si="80">(X243-$W$243)*$G$270+X234+$G$272</f>
        <v>1371.1996658474759</v>
      </c>
      <c r="Y241" s="683">
        <f t="shared" si="80"/>
        <v>1451.5650600908464</v>
      </c>
      <c r="Z241" s="683">
        <f t="shared" si="80"/>
        <v>1547.8306325826497</v>
      </c>
      <c r="AA241" s="683">
        <f t="shared" si="80"/>
        <v>1663.1607272727274</v>
      </c>
      <c r="AB241" s="683">
        <f t="shared" si="80"/>
        <v>1691.7214401135757</v>
      </c>
      <c r="AC241" s="683">
        <f t="shared" si="80"/>
        <v>1721.521584609867</v>
      </c>
      <c r="AD241" s="683">
        <f t="shared" si="80"/>
        <v>1752.6187914126222</v>
      </c>
      <c r="AE241" s="683">
        <f t="shared" si="80"/>
        <v>1785.0735566620915</v>
      </c>
      <c r="AF241" s="683">
        <f t="shared" si="80"/>
        <v>1818.949392846605</v>
      </c>
      <c r="AG241" s="683">
        <f t="shared" si="80"/>
        <v>1854.3129879572859</v>
      </c>
      <c r="AH241" s="683">
        <f t="shared" si="80"/>
        <v>1891.2343734089145</v>
      </c>
      <c r="AI241" s="683">
        <f t="shared" si="80"/>
        <v>1929.7871012244264</v>
      </c>
      <c r="AJ241" s="683">
        <f t="shared" si="80"/>
        <v>1970.0484310093202</v>
      </c>
      <c r="AK241" s="683">
        <f t="shared" si="80"/>
        <v>2012.0995272727273</v>
      </c>
      <c r="AL241" s="683">
        <f t="shared" si="80"/>
        <v>2038.806019816928</v>
      </c>
      <c r="AM241" s="683">
        <f t="shared" si="80"/>
        <v>2066.6561057210811</v>
      </c>
      <c r="AN241" s="683">
        <f t="shared" si="80"/>
        <v>2095.7124002340997</v>
      </c>
      <c r="AO241" s="683">
        <f t="shared" si="80"/>
        <v>2126.041185575722</v>
      </c>
      <c r="AP241" s="683">
        <f t="shared" si="80"/>
        <v>2157.7126289499561</v>
      </c>
    </row>
    <row r="242" spans="2:42" hidden="1" x14ac:dyDescent="0.3">
      <c r="B242" s="688" t="str">
        <f t="shared" si="67"/>
        <v>ElectricitéRéférence€/MWh</v>
      </c>
      <c r="C242" s="703" t="s">
        <v>57</v>
      </c>
      <c r="D242" s="688" t="s">
        <v>418</v>
      </c>
      <c r="E242" s="688"/>
      <c r="F242" s="688" t="s">
        <v>62</v>
      </c>
      <c r="G242" s="404"/>
      <c r="W242" s="693">
        <f ca="1">'Prix historique'!$U$32</f>
        <v>83.7</v>
      </c>
      <c r="X242" s="683">
        <f t="shared" ref="X242:AD242" ca="1" si="81">W242*($AF242/$W242)^(1/($AF$232-$W$232))</f>
        <v>85.801175375842632</v>
      </c>
      <c r="Y242" s="683">
        <f t="shared" ca="1" si="81"/>
        <v>87.955097919666713</v>
      </c>
      <c r="Z242" s="683">
        <f t="shared" ca="1" si="81"/>
        <v>90.163091777834339</v>
      </c>
      <c r="AA242" s="683">
        <f t="shared" ca="1" si="81"/>
        <v>92.426514337612403</v>
      </c>
      <c r="AB242" s="683">
        <f t="shared" ca="1" si="81"/>
        <v>94.746757061640565</v>
      </c>
      <c r="AC242" s="683">
        <f t="shared" ca="1" si="81"/>
        <v>97.125246343347413</v>
      </c>
      <c r="AD242" s="683">
        <f t="shared" ca="1" si="81"/>
        <v>99.563444383840732</v>
      </c>
      <c r="AE242" s="683">
        <f ca="1">AD242*($AF242/$W242)^(1/($AF$232-$W$232))</f>
        <v>102.0628500908109</v>
      </c>
      <c r="AF242" s="693">
        <f ca="1">W242*1.25</f>
        <v>104.625</v>
      </c>
      <c r="AG242" s="683">
        <f ca="1">AF242*($AP242/$AF242)^(1/($AP$232-$AF$232))</f>
        <v>106.55003472938242</v>
      </c>
      <c r="AH242" s="683">
        <f ca="1">AG242*($AP242/$AF242)^(1/($AP$232-$AF$232))</f>
        <v>108.51048889684682</v>
      </c>
      <c r="AI242" s="683">
        <f t="shared" ref="AI242:AO242" ca="1" si="82">AH242*($AP242/$AF242)^(1/($AP$232-$AF$232))</f>
        <v>110.5070141979574</v>
      </c>
      <c r="AJ242" s="683">
        <f t="shared" ca="1" si="82"/>
        <v>112.54027431907016</v>
      </c>
      <c r="AK242" s="683">
        <f t="shared" ca="1" si="82"/>
        <v>114.61094515795602</v>
      </c>
      <c r="AL242" s="683">
        <f t="shared" ca="1" si="82"/>
        <v>116.71971504848322</v>
      </c>
      <c r="AM242" s="683">
        <f t="shared" ca="1" si="82"/>
        <v>118.86728498943376</v>
      </c>
      <c r="AN242" s="683">
        <f t="shared" ca="1" si="82"/>
        <v>121.05436887752988</v>
      </c>
      <c r="AO242" s="683">
        <f t="shared" ca="1" si="82"/>
        <v>123.28169374474818</v>
      </c>
      <c r="AP242" s="693">
        <f ca="1">AF242*1.2</f>
        <v>125.55</v>
      </c>
    </row>
    <row r="243" spans="2:42" hidden="1" x14ac:dyDescent="0.3">
      <c r="B243" s="689" t="s">
        <v>77</v>
      </c>
      <c r="C243" s="689" t="s">
        <v>0</v>
      </c>
      <c r="D243" s="689" t="s">
        <v>193</v>
      </c>
      <c r="E243" s="689"/>
      <c r="F243" s="689"/>
      <c r="G243" s="404"/>
      <c r="U243" s="692">
        <v>7</v>
      </c>
      <c r="V243" s="692">
        <v>14.5</v>
      </c>
      <c r="W243" s="692">
        <v>22</v>
      </c>
      <c r="X243" s="692">
        <v>30.5</v>
      </c>
      <c r="Y243" s="683">
        <f>X243*($AA243/$X243)^(1/($AA$232-$X$232))</f>
        <v>37.347588801989268</v>
      </c>
      <c r="Z243" s="683">
        <f>Y243*($AA243/$X243)^(1/($AA$232-$X$232))</f>
        <v>45.732537354835223</v>
      </c>
      <c r="AA243" s="692">
        <v>56</v>
      </c>
      <c r="AB243" s="683">
        <f t="shared" ref="AB243:AJ243" si="83">AA243*($AK243/$AA243)^(1/($AK$232-$AA$232))</f>
        <v>59.342962647058584</v>
      </c>
      <c r="AC243" s="683">
        <f t="shared" si="83"/>
        <v>62.885485995181973</v>
      </c>
      <c r="AD243" s="683">
        <f t="shared" si="83"/>
        <v>66.639482972396607</v>
      </c>
      <c r="AE243" s="683">
        <f t="shared" si="83"/>
        <v>70.617577658039792</v>
      </c>
      <c r="AF243" s="683">
        <f t="shared" si="83"/>
        <v>74.833147735478832</v>
      </c>
      <c r="AG243" s="683">
        <f t="shared" si="83"/>
        <v>79.300369479077446</v>
      </c>
      <c r="AH243" s="683">
        <f t="shared" si="83"/>
        <v>84.034265426693537</v>
      </c>
      <c r="AI243" s="683">
        <f t="shared" si="83"/>
        <v>89.050754898022888</v>
      </c>
      <c r="AJ243" s="683">
        <f t="shared" si="83"/>
        <v>94.366707528673956</v>
      </c>
      <c r="AK243" s="693">
        <v>100</v>
      </c>
      <c r="AL243" s="683">
        <f>AK243*($AK243/$AA243)^(1/($AK$232-$AA$232))</f>
        <v>105.96957615546177</v>
      </c>
      <c r="AM243" s="683">
        <f t="shared" ref="AM243:AP243" si="84">AL243*($AK243/$AA243)^(1/($AK$232-$AA$232))</f>
        <v>112.2955107056821</v>
      </c>
      <c r="AN243" s="683">
        <f t="shared" si="84"/>
        <v>118.99907673642252</v>
      </c>
      <c r="AO243" s="683">
        <f t="shared" si="84"/>
        <v>126.10281724649965</v>
      </c>
      <c r="AP243" s="683">
        <f t="shared" si="84"/>
        <v>133.63062095621223</v>
      </c>
    </row>
    <row r="244" spans="2:42" hidden="1" x14ac:dyDescent="0.3"/>
    <row r="245" spans="2:42" hidden="1" x14ac:dyDescent="0.3"/>
    <row r="246" spans="2:42" hidden="1" x14ac:dyDescent="0.3">
      <c r="B246" s="11" t="s">
        <v>201</v>
      </c>
    </row>
    <row r="247" spans="2:42" ht="14.5" hidden="1" thickBot="1" x14ac:dyDescent="0.35"/>
    <row r="248" spans="2:42" ht="14.5" hidden="1" thickBot="1" x14ac:dyDescent="0.35">
      <c r="B248" s="868" t="s">
        <v>8</v>
      </c>
      <c r="C248" s="869"/>
      <c r="D248" s="868" t="s">
        <v>202</v>
      </c>
      <c r="E248" s="881"/>
      <c r="F248" s="869"/>
      <c r="G248" s="402" t="s">
        <v>203</v>
      </c>
      <c r="H248" s="868" t="s">
        <v>10</v>
      </c>
      <c r="I248" s="881"/>
      <c r="J248" s="869"/>
      <c r="K248" s="868" t="s">
        <v>9</v>
      </c>
      <c r="L248" s="881"/>
      <c r="M248" s="881"/>
      <c r="N248" s="869"/>
      <c r="O248" s="881" t="s">
        <v>205</v>
      </c>
      <c r="P248" s="881"/>
      <c r="Q248" s="869"/>
    </row>
    <row r="249" spans="2:42" hidden="1" x14ac:dyDescent="0.3">
      <c r="B249" s="882" t="s">
        <v>88</v>
      </c>
      <c r="C249" s="884"/>
      <c r="D249" s="882"/>
      <c r="E249" s="883"/>
      <c r="F249" s="884"/>
      <c r="G249" s="706">
        <v>158.9873</v>
      </c>
      <c r="H249" s="872" t="s">
        <v>72</v>
      </c>
      <c r="I249" s="873"/>
      <c r="J249" s="874"/>
      <c r="K249" s="887"/>
      <c r="L249" s="887"/>
      <c r="M249" s="887"/>
      <c r="N249" s="888"/>
      <c r="O249" s="870"/>
      <c r="P249" s="870"/>
      <c r="Q249" s="871"/>
    </row>
    <row r="250" spans="2:42" hidden="1" x14ac:dyDescent="0.3">
      <c r="B250" s="865"/>
      <c r="C250" s="867"/>
      <c r="D250" s="865"/>
      <c r="E250" s="866"/>
      <c r="F250" s="867"/>
      <c r="G250" s="707"/>
      <c r="H250" s="875"/>
      <c r="I250" s="876"/>
      <c r="J250" s="877"/>
      <c r="K250" s="870"/>
      <c r="L250" s="870"/>
      <c r="M250" s="870"/>
      <c r="N250" s="871"/>
      <c r="O250" s="870"/>
      <c r="P250" s="870"/>
      <c r="Q250" s="871"/>
    </row>
    <row r="251" spans="2:42" hidden="1" x14ac:dyDescent="0.3">
      <c r="B251" s="865" t="s">
        <v>186</v>
      </c>
      <c r="C251" s="867"/>
      <c r="D251" s="865" t="s">
        <v>207</v>
      </c>
      <c r="E251" s="866"/>
      <c r="F251" s="867"/>
      <c r="G251" s="708">
        <v>1</v>
      </c>
      <c r="H251" s="875"/>
      <c r="I251" s="876"/>
      <c r="J251" s="877"/>
      <c r="K251" s="870" t="s">
        <v>208</v>
      </c>
      <c r="L251" s="870"/>
      <c r="M251" s="870"/>
      <c r="N251" s="871"/>
      <c r="O251" s="870"/>
      <c r="P251" s="870"/>
      <c r="Q251" s="871"/>
    </row>
    <row r="252" spans="2:42" hidden="1" x14ac:dyDescent="0.3">
      <c r="B252" s="865"/>
      <c r="C252" s="867"/>
      <c r="D252" s="865" t="s">
        <v>191</v>
      </c>
      <c r="E252" s="866"/>
      <c r="F252" s="867"/>
      <c r="G252" s="709">
        <v>7.33</v>
      </c>
      <c r="H252" s="875" t="s">
        <v>74</v>
      </c>
      <c r="I252" s="876"/>
      <c r="J252" s="877"/>
      <c r="K252" s="870" t="s">
        <v>75</v>
      </c>
      <c r="L252" s="870"/>
      <c r="M252" s="870"/>
      <c r="N252" s="871"/>
      <c r="O252" s="870"/>
      <c r="P252" s="870"/>
      <c r="Q252" s="871"/>
    </row>
    <row r="253" spans="2:42" hidden="1" x14ac:dyDescent="0.3">
      <c r="B253" s="865"/>
      <c r="C253" s="867"/>
      <c r="D253" s="865" t="s">
        <v>206</v>
      </c>
      <c r="E253" s="866"/>
      <c r="F253" s="867"/>
      <c r="G253" s="710">
        <v>3.1413000000000002</v>
      </c>
      <c r="H253" s="878" t="s">
        <v>84</v>
      </c>
      <c r="I253" s="879"/>
      <c r="J253" s="880"/>
      <c r="K253" s="870" t="s">
        <v>14</v>
      </c>
      <c r="L253" s="870"/>
      <c r="M253" s="870"/>
      <c r="N253" s="871"/>
      <c r="O253" s="870"/>
      <c r="P253" s="870"/>
      <c r="Q253" s="871"/>
    </row>
    <row r="254" spans="2:42" hidden="1" x14ac:dyDescent="0.3">
      <c r="B254" s="865"/>
      <c r="C254" s="867"/>
      <c r="D254" s="865" t="s">
        <v>189</v>
      </c>
      <c r="E254" s="866"/>
      <c r="F254" s="867"/>
      <c r="G254" s="711">
        <v>11.111000000000001</v>
      </c>
      <c r="H254" s="878" t="s">
        <v>13</v>
      </c>
      <c r="I254" s="879"/>
      <c r="J254" s="880"/>
      <c r="K254" s="870" t="s">
        <v>14</v>
      </c>
      <c r="L254" s="870"/>
      <c r="M254" s="870"/>
      <c r="N254" s="871"/>
      <c r="O254" s="870"/>
      <c r="P254" s="870"/>
      <c r="Q254" s="871"/>
    </row>
    <row r="255" spans="2:42" hidden="1" x14ac:dyDescent="0.3">
      <c r="B255" s="865"/>
      <c r="C255" s="867"/>
      <c r="D255" s="865"/>
      <c r="E255" s="866"/>
      <c r="F255" s="867"/>
      <c r="G255" s="710"/>
      <c r="H255" s="878"/>
      <c r="I255" s="879"/>
      <c r="J255" s="880"/>
      <c r="K255" s="870"/>
      <c r="L255" s="870"/>
      <c r="M255" s="870"/>
      <c r="N255" s="871"/>
      <c r="O255" s="870"/>
      <c r="P255" s="870"/>
      <c r="Q255" s="871"/>
    </row>
    <row r="256" spans="2:42" hidden="1" x14ac:dyDescent="0.3">
      <c r="B256" s="865" t="s">
        <v>187</v>
      </c>
      <c r="C256" s="867"/>
      <c r="D256" s="865" t="s">
        <v>188</v>
      </c>
      <c r="E256" s="866"/>
      <c r="F256" s="867"/>
      <c r="G256" s="710">
        <v>1180</v>
      </c>
      <c r="H256" s="878" t="s">
        <v>85</v>
      </c>
      <c r="I256" s="879"/>
      <c r="J256" s="880"/>
      <c r="K256" s="885" t="s">
        <v>197</v>
      </c>
      <c r="L256" s="885"/>
      <c r="M256" s="885"/>
      <c r="N256" s="886"/>
      <c r="O256" s="870" t="s">
        <v>195</v>
      </c>
      <c r="P256" s="870"/>
      <c r="Q256" s="871"/>
    </row>
    <row r="257" spans="2:17" hidden="1" x14ac:dyDescent="0.3">
      <c r="B257" s="865"/>
      <c r="C257" s="867"/>
      <c r="D257" s="865" t="s">
        <v>206</v>
      </c>
      <c r="E257" s="866"/>
      <c r="F257" s="867"/>
      <c r="G257" s="710">
        <v>2.7200000000000002E-3</v>
      </c>
      <c r="H257" s="878" t="s">
        <v>93</v>
      </c>
      <c r="I257" s="879"/>
      <c r="J257" s="880"/>
      <c r="K257" s="885" t="s">
        <v>197</v>
      </c>
      <c r="L257" s="885"/>
      <c r="M257" s="885"/>
      <c r="N257" s="886"/>
      <c r="O257" s="870"/>
      <c r="P257" s="870"/>
      <c r="Q257" s="871"/>
    </row>
    <row r="258" spans="2:17" hidden="1" x14ac:dyDescent="0.3">
      <c r="B258" s="865"/>
      <c r="C258" s="867"/>
      <c r="D258" s="865" t="s">
        <v>189</v>
      </c>
      <c r="E258" s="866"/>
      <c r="F258" s="867"/>
      <c r="G258" s="710">
        <v>0.01</v>
      </c>
      <c r="H258" s="878" t="s">
        <v>212</v>
      </c>
      <c r="I258" s="879"/>
      <c r="J258" s="880"/>
      <c r="K258" s="885" t="s">
        <v>197</v>
      </c>
      <c r="L258" s="885"/>
      <c r="M258" s="885"/>
      <c r="N258" s="886"/>
      <c r="O258" s="870"/>
      <c r="P258" s="870"/>
      <c r="Q258" s="871"/>
    </row>
    <row r="259" spans="2:17" hidden="1" x14ac:dyDescent="0.3">
      <c r="B259" s="712"/>
      <c r="C259" s="713"/>
      <c r="D259" s="865" t="s">
        <v>189</v>
      </c>
      <c r="E259" s="866"/>
      <c r="F259" s="867"/>
      <c r="G259" s="710">
        <f>G258*1000</f>
        <v>10</v>
      </c>
      <c r="H259" s="714" t="s">
        <v>347</v>
      </c>
      <c r="I259" s="715"/>
      <c r="J259" s="716"/>
      <c r="K259" s="259"/>
      <c r="L259" s="259"/>
      <c r="M259" s="259"/>
      <c r="N259" s="717"/>
      <c r="O259" s="718"/>
      <c r="P259" s="718"/>
      <c r="Q259" s="719"/>
    </row>
    <row r="260" spans="2:17" hidden="1" x14ac:dyDescent="0.3">
      <c r="B260" s="865"/>
      <c r="C260" s="867"/>
      <c r="D260" s="865" t="s">
        <v>190</v>
      </c>
      <c r="E260" s="866"/>
      <c r="F260" s="867"/>
      <c r="G260" s="710">
        <v>0.21359999999999998</v>
      </c>
      <c r="H260" s="878" t="s">
        <v>86</v>
      </c>
      <c r="I260" s="879"/>
      <c r="J260" s="880"/>
      <c r="K260" s="870" t="s">
        <v>208</v>
      </c>
      <c r="L260" s="870"/>
      <c r="M260" s="870"/>
      <c r="N260" s="871"/>
      <c r="O260" s="870"/>
      <c r="P260" s="870"/>
      <c r="Q260" s="871"/>
    </row>
    <row r="261" spans="2:17" hidden="1" x14ac:dyDescent="0.3">
      <c r="B261" s="865"/>
      <c r="C261" s="867"/>
      <c r="D261" s="865"/>
      <c r="E261" s="866"/>
      <c r="F261" s="867"/>
      <c r="G261" s="710"/>
      <c r="H261" s="878"/>
      <c r="I261" s="879"/>
      <c r="J261" s="880"/>
      <c r="K261" s="870"/>
      <c r="L261" s="870"/>
      <c r="M261" s="870"/>
      <c r="N261" s="871"/>
      <c r="O261" s="870"/>
      <c r="P261" s="870"/>
      <c r="Q261" s="871"/>
    </row>
    <row r="262" spans="2:17" hidden="1" x14ac:dyDescent="0.3">
      <c r="B262" s="865" t="s">
        <v>58</v>
      </c>
      <c r="C262" s="867"/>
      <c r="D262" s="865" t="s">
        <v>179</v>
      </c>
      <c r="E262" s="866"/>
      <c r="F262" s="867"/>
      <c r="G262" s="710">
        <v>0.20399999999999999</v>
      </c>
      <c r="H262" s="878" t="s">
        <v>213</v>
      </c>
      <c r="I262" s="879"/>
      <c r="J262" s="880"/>
      <c r="K262" s="885" t="s">
        <v>20</v>
      </c>
      <c r="L262" s="885"/>
      <c r="M262" s="885"/>
      <c r="N262" s="886"/>
      <c r="O262" s="870"/>
      <c r="P262" s="870"/>
      <c r="Q262" s="871"/>
    </row>
    <row r="263" spans="2:17" hidden="1" x14ac:dyDescent="0.3">
      <c r="B263" s="865"/>
      <c r="C263" s="867"/>
      <c r="D263" s="865" t="s">
        <v>189</v>
      </c>
      <c r="E263" s="866"/>
      <c r="F263" s="867"/>
      <c r="G263" s="720">
        <v>0.29307106999999999</v>
      </c>
      <c r="H263" s="878" t="s">
        <v>192</v>
      </c>
      <c r="I263" s="879"/>
      <c r="J263" s="880"/>
      <c r="K263" s="870"/>
      <c r="L263" s="870"/>
      <c r="M263" s="870"/>
      <c r="N263" s="871"/>
      <c r="O263" s="870"/>
      <c r="P263" s="870"/>
      <c r="Q263" s="871"/>
    </row>
    <row r="264" spans="2:17" hidden="1" x14ac:dyDescent="0.3">
      <c r="B264" s="865"/>
      <c r="C264" s="867"/>
      <c r="D264" s="865" t="s">
        <v>189</v>
      </c>
      <c r="E264" s="866"/>
      <c r="F264" s="867"/>
      <c r="G264" s="710">
        <v>1.0549999999999999</v>
      </c>
      <c r="H264" s="878" t="s">
        <v>90</v>
      </c>
      <c r="I264" s="879"/>
      <c r="J264" s="880"/>
      <c r="K264" s="870"/>
      <c r="L264" s="870"/>
      <c r="M264" s="870"/>
      <c r="N264" s="871"/>
      <c r="O264" s="870"/>
      <c r="P264" s="870"/>
      <c r="Q264" s="871"/>
    </row>
    <row r="265" spans="2:17" hidden="1" x14ac:dyDescent="0.3">
      <c r="B265" s="865"/>
      <c r="C265" s="867"/>
      <c r="D265" s="865" t="s">
        <v>189</v>
      </c>
      <c r="E265" s="866"/>
      <c r="F265" s="867"/>
      <c r="G265" s="710">
        <v>26.538</v>
      </c>
      <c r="H265" s="878" t="s">
        <v>91</v>
      </c>
      <c r="I265" s="879"/>
      <c r="J265" s="880"/>
      <c r="K265" s="870"/>
      <c r="L265" s="870"/>
      <c r="M265" s="870"/>
      <c r="N265" s="871"/>
      <c r="O265" s="870"/>
      <c r="P265" s="870"/>
      <c r="Q265" s="871"/>
    </row>
    <row r="266" spans="2:17" hidden="1" x14ac:dyDescent="0.3">
      <c r="B266" s="865"/>
      <c r="C266" s="867"/>
      <c r="D266" s="865" t="s">
        <v>180</v>
      </c>
      <c r="E266" s="866"/>
      <c r="F266" s="867"/>
      <c r="G266" s="710">
        <v>14</v>
      </c>
      <c r="H266" s="878" t="s">
        <v>62</v>
      </c>
      <c r="I266" s="879"/>
      <c r="J266" s="880"/>
      <c r="K266" s="870" t="s">
        <v>241</v>
      </c>
      <c r="L266" s="870"/>
      <c r="M266" s="870"/>
      <c r="N266" s="871"/>
      <c r="O266" s="870"/>
      <c r="P266" s="870"/>
      <c r="Q266" s="871"/>
    </row>
    <row r="267" spans="2:17" hidden="1" x14ac:dyDescent="0.3">
      <c r="B267" s="894"/>
      <c r="C267" s="871"/>
      <c r="D267" s="894"/>
      <c r="E267" s="870"/>
      <c r="F267" s="871"/>
      <c r="G267" s="710">
        <v>0.9</v>
      </c>
      <c r="H267" s="878" t="s">
        <v>216</v>
      </c>
      <c r="I267" s="879"/>
      <c r="J267" s="880"/>
      <c r="K267" s="894"/>
      <c r="L267" s="870"/>
      <c r="M267" s="870"/>
      <c r="N267" s="871"/>
      <c r="O267" s="894"/>
      <c r="P267" s="870"/>
      <c r="Q267" s="871"/>
    </row>
    <row r="268" spans="2:17" hidden="1" x14ac:dyDescent="0.3">
      <c r="B268" s="865"/>
      <c r="C268" s="867"/>
      <c r="D268" s="865"/>
      <c r="E268" s="866"/>
      <c r="F268" s="867"/>
      <c r="G268" s="710"/>
      <c r="H268" s="878"/>
      <c r="I268" s="879"/>
      <c r="J268" s="880"/>
      <c r="K268" s="870"/>
      <c r="L268" s="870"/>
      <c r="M268" s="870"/>
      <c r="N268" s="871"/>
      <c r="O268" s="870"/>
      <c r="P268" s="870"/>
      <c r="Q268" s="871"/>
    </row>
    <row r="269" spans="2:17" hidden="1" x14ac:dyDescent="0.3">
      <c r="B269" s="865" t="s">
        <v>18</v>
      </c>
      <c r="C269" s="867"/>
      <c r="D269" s="865" t="s">
        <v>191</v>
      </c>
      <c r="E269" s="866"/>
      <c r="F269" s="867"/>
      <c r="G269" s="710">
        <v>5.5000000000000003E-4</v>
      </c>
      <c r="H269" s="878" t="s">
        <v>92</v>
      </c>
      <c r="I269" s="879"/>
      <c r="J269" s="880"/>
      <c r="K269" s="885" t="s">
        <v>199</v>
      </c>
      <c r="L269" s="885"/>
      <c r="M269" s="885"/>
      <c r="N269" s="886"/>
      <c r="O269" s="870" t="s">
        <v>200</v>
      </c>
      <c r="P269" s="870"/>
      <c r="Q269" s="871"/>
    </row>
    <row r="270" spans="2:17" hidden="1" x14ac:dyDescent="0.3">
      <c r="B270" s="865"/>
      <c r="C270" s="867"/>
      <c r="D270" s="865" t="s">
        <v>206</v>
      </c>
      <c r="E270" s="866"/>
      <c r="F270" s="867"/>
      <c r="G270" s="710">
        <f>0.00158/G269</f>
        <v>2.8727272727272726</v>
      </c>
      <c r="H270" s="878" t="s">
        <v>419</v>
      </c>
      <c r="I270" s="879"/>
      <c r="J270" s="880"/>
      <c r="K270" s="885" t="s">
        <v>198</v>
      </c>
      <c r="L270" s="885"/>
      <c r="M270" s="885"/>
      <c r="N270" s="886"/>
      <c r="O270" s="870"/>
      <c r="P270" s="870"/>
      <c r="Q270" s="871"/>
    </row>
    <row r="271" spans="2:17" hidden="1" x14ac:dyDescent="0.3">
      <c r="B271" s="865"/>
      <c r="C271" s="867"/>
      <c r="D271" s="865" t="s">
        <v>189</v>
      </c>
      <c r="E271" s="866"/>
      <c r="F271" s="867"/>
      <c r="G271" s="710">
        <v>13.3</v>
      </c>
      <c r="H271" s="878" t="s">
        <v>13</v>
      </c>
      <c r="I271" s="879"/>
      <c r="J271" s="880"/>
      <c r="K271" s="885" t="s">
        <v>20</v>
      </c>
      <c r="L271" s="885"/>
      <c r="M271" s="885"/>
      <c r="N271" s="886"/>
      <c r="O271" s="870" t="s">
        <v>194</v>
      </c>
      <c r="P271" s="870"/>
      <c r="Q271" s="871"/>
    </row>
    <row r="272" spans="2:17" hidden="1" x14ac:dyDescent="0.3">
      <c r="B272" s="865"/>
      <c r="C272" s="867"/>
      <c r="D272" s="865" t="s">
        <v>211</v>
      </c>
      <c r="E272" s="866"/>
      <c r="F272" s="867"/>
      <c r="G272" s="710">
        <v>1026</v>
      </c>
      <c r="H272" s="878" t="s">
        <v>0</v>
      </c>
      <c r="I272" s="879"/>
      <c r="J272" s="880"/>
      <c r="K272" s="885" t="s">
        <v>204</v>
      </c>
      <c r="L272" s="885"/>
      <c r="M272" s="885"/>
      <c r="N272" s="886"/>
      <c r="O272" s="870"/>
      <c r="P272" s="870"/>
      <c r="Q272" s="871"/>
    </row>
    <row r="273" spans="2:17" hidden="1" x14ac:dyDescent="0.3">
      <c r="B273" s="865"/>
      <c r="C273" s="867"/>
      <c r="D273" s="865"/>
      <c r="E273" s="866"/>
      <c r="F273" s="867"/>
      <c r="G273" s="709"/>
      <c r="H273" s="875"/>
      <c r="I273" s="876"/>
      <c r="J273" s="877"/>
      <c r="K273" s="870"/>
      <c r="L273" s="870"/>
      <c r="M273" s="870"/>
      <c r="N273" s="871"/>
      <c r="O273" s="870"/>
      <c r="P273" s="870"/>
      <c r="Q273" s="871"/>
    </row>
    <row r="274" spans="2:17" ht="14.5" hidden="1" thickBot="1" x14ac:dyDescent="0.35">
      <c r="B274" s="895"/>
      <c r="C274" s="896"/>
      <c r="D274" s="895" t="s">
        <v>259</v>
      </c>
      <c r="E274" s="898"/>
      <c r="F274" s="896"/>
      <c r="G274" s="721">
        <f>'Prix historique'!$U$25</f>
        <v>0.92</v>
      </c>
      <c r="H274" s="889" t="s">
        <v>83</v>
      </c>
      <c r="I274" s="890"/>
      <c r="J274" s="891"/>
      <c r="K274" s="892" t="s">
        <v>388</v>
      </c>
      <c r="L274" s="892"/>
      <c r="M274" s="892"/>
      <c r="N274" s="893"/>
      <c r="O274" s="892"/>
      <c r="P274" s="892"/>
      <c r="Q274" s="893"/>
    </row>
  </sheetData>
  <mergeCells count="132">
    <mergeCell ref="B257:C257"/>
    <mergeCell ref="B258:C258"/>
    <mergeCell ref="B260:C260"/>
    <mergeCell ref="B261:C261"/>
    <mergeCell ref="B262:C262"/>
    <mergeCell ref="B274:C274"/>
    <mergeCell ref="D223:I226"/>
    <mergeCell ref="B265:C265"/>
    <mergeCell ref="B266:C266"/>
    <mergeCell ref="B268:C268"/>
    <mergeCell ref="B269:C269"/>
    <mergeCell ref="B270:C270"/>
    <mergeCell ref="D274:F274"/>
    <mergeCell ref="B249:C249"/>
    <mergeCell ref="B250:C250"/>
    <mergeCell ref="B251:C251"/>
    <mergeCell ref="B252:C252"/>
    <mergeCell ref="B253:C253"/>
    <mergeCell ref="B254:C254"/>
    <mergeCell ref="B255:C255"/>
    <mergeCell ref="B256:C256"/>
    <mergeCell ref="D257:F257"/>
    <mergeCell ref="D258:F258"/>
    <mergeCell ref="D260:F260"/>
    <mergeCell ref="D261:F261"/>
    <mergeCell ref="D262:F262"/>
    <mergeCell ref="B264:C264"/>
    <mergeCell ref="D269:F269"/>
    <mergeCell ref="B271:C271"/>
    <mergeCell ref="B272:C272"/>
    <mergeCell ref="B273:C273"/>
    <mergeCell ref="B267:C267"/>
    <mergeCell ref="D270:F270"/>
    <mergeCell ref="D271:F271"/>
    <mergeCell ref="D272:F272"/>
    <mergeCell ref="D273:F273"/>
    <mergeCell ref="D263:F263"/>
    <mergeCell ref="D264:F264"/>
    <mergeCell ref="D265:F265"/>
    <mergeCell ref="D266:F266"/>
    <mergeCell ref="D268:F268"/>
    <mergeCell ref="D267:F267"/>
    <mergeCell ref="B263:C263"/>
    <mergeCell ref="K261:N261"/>
    <mergeCell ref="H269:J269"/>
    <mergeCell ref="H270:J270"/>
    <mergeCell ref="H268:J268"/>
    <mergeCell ref="H273:J273"/>
    <mergeCell ref="H252:J252"/>
    <mergeCell ref="H253:J253"/>
    <mergeCell ref="H254:J254"/>
    <mergeCell ref="H256:J256"/>
    <mergeCell ref="H257:J257"/>
    <mergeCell ref="H258:J258"/>
    <mergeCell ref="H272:J272"/>
    <mergeCell ref="H267:J267"/>
    <mergeCell ref="H262:J262"/>
    <mergeCell ref="H263:J263"/>
    <mergeCell ref="H264:J264"/>
    <mergeCell ref="H261:J261"/>
    <mergeCell ref="H274:J274"/>
    <mergeCell ref="H271:J271"/>
    <mergeCell ref="H265:J265"/>
    <mergeCell ref="H266:J266"/>
    <mergeCell ref="O272:Q272"/>
    <mergeCell ref="O273:Q273"/>
    <mergeCell ref="O274:Q274"/>
    <mergeCell ref="O262:Q262"/>
    <mergeCell ref="O263:Q263"/>
    <mergeCell ref="O264:Q264"/>
    <mergeCell ref="O265:Q265"/>
    <mergeCell ref="O266:Q266"/>
    <mergeCell ref="O267:Q267"/>
    <mergeCell ref="O271:Q271"/>
    <mergeCell ref="O270:Q270"/>
    <mergeCell ref="K266:N266"/>
    <mergeCell ref="K273:N273"/>
    <mergeCell ref="K274:N274"/>
    <mergeCell ref="K271:N271"/>
    <mergeCell ref="K272:N272"/>
    <mergeCell ref="K269:N269"/>
    <mergeCell ref="K270:N270"/>
    <mergeCell ref="K267:N267"/>
    <mergeCell ref="K262:N262"/>
    <mergeCell ref="D248:F248"/>
    <mergeCell ref="O248:Q248"/>
    <mergeCell ref="O256:Q256"/>
    <mergeCell ref="O269:Q269"/>
    <mergeCell ref="K248:N248"/>
    <mergeCell ref="K256:N256"/>
    <mergeCell ref="K257:N257"/>
    <mergeCell ref="K258:N258"/>
    <mergeCell ref="K253:N253"/>
    <mergeCell ref="K254:N254"/>
    <mergeCell ref="K249:N249"/>
    <mergeCell ref="K250:N250"/>
    <mergeCell ref="O249:Q249"/>
    <mergeCell ref="O250:Q250"/>
    <mergeCell ref="O251:Q251"/>
    <mergeCell ref="O252:Q252"/>
    <mergeCell ref="O253:Q253"/>
    <mergeCell ref="O254:Q254"/>
    <mergeCell ref="O255:Q255"/>
    <mergeCell ref="O257:Q257"/>
    <mergeCell ref="K252:N252"/>
    <mergeCell ref="K251:N251"/>
    <mergeCell ref="K260:N260"/>
    <mergeCell ref="K255:N255"/>
    <mergeCell ref="D259:F259"/>
    <mergeCell ref="B248:C248"/>
    <mergeCell ref="K263:N263"/>
    <mergeCell ref="K264:N264"/>
    <mergeCell ref="K265:N265"/>
    <mergeCell ref="K268:N268"/>
    <mergeCell ref="O258:Q258"/>
    <mergeCell ref="O260:Q260"/>
    <mergeCell ref="O261:Q261"/>
    <mergeCell ref="O268:Q268"/>
    <mergeCell ref="H249:J249"/>
    <mergeCell ref="H250:J250"/>
    <mergeCell ref="H251:J251"/>
    <mergeCell ref="H255:J255"/>
    <mergeCell ref="H260:J260"/>
    <mergeCell ref="H248:J248"/>
    <mergeCell ref="D249:F249"/>
    <mergeCell ref="D250:F250"/>
    <mergeCell ref="D251:F251"/>
    <mergeCell ref="D252:F252"/>
    <mergeCell ref="D253:F253"/>
    <mergeCell ref="D254:F254"/>
    <mergeCell ref="D255:F255"/>
    <mergeCell ref="D256:F256"/>
  </mergeCells>
  <conditionalFormatting sqref="C73:C107">
    <cfRule type="expression" dxfId="2" priority="5">
      <formula>ISBLANK(C73)</formula>
    </cfRule>
  </conditionalFormatting>
  <conditionalFormatting sqref="W73:W89">
    <cfRule type="expression" dxfId="1" priority="2">
      <formula>ISBLANK(W73)</formula>
    </cfRule>
  </conditionalFormatting>
  <conditionalFormatting sqref="C108">
    <cfRule type="expression" dxfId="0" priority="1">
      <formula>ISBLANK(C108)</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0000000}">
          <x14:formula1>
            <xm:f>Liste!$D$21:$D$22</xm:f>
          </x14:formula1>
          <xm:sqref>N43</xm:sqref>
        </x14:dataValidation>
        <x14:dataValidation type="list" allowBlank="1" showInputMessage="1" showErrorMessage="1" xr:uid="{00000000-0002-0000-0500-000001000000}">
          <x14:formula1>
            <xm:f>Liste!$C$21:$C$22</xm:f>
          </x14:formula1>
          <xm:sqref>N25 E43</xm:sqref>
        </x14:dataValidation>
        <x14:dataValidation type="list" allowBlank="1" showInputMessage="1" showErrorMessage="1" xr:uid="{00000000-0002-0000-0500-000002000000}">
          <x14:formula1>
            <xm:f>Liste!$E$21:$E$22</xm:f>
          </x14:formula1>
          <xm:sqref>E61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1:V132"/>
  <sheetViews>
    <sheetView zoomScale="90" zoomScaleNormal="90" workbookViewId="0">
      <pane ySplit="1" topLeftCell="A2" activePane="bottomLeft" state="frozen"/>
      <selection pane="bottomLeft" activeCell="V50" sqref="V50"/>
    </sheetView>
  </sheetViews>
  <sheetFormatPr baseColWidth="10" defaultColWidth="11.453125" defaultRowHeight="12.5" x14ac:dyDescent="0.25"/>
  <cols>
    <col min="1" max="1" width="22.26953125" style="2" customWidth="1"/>
    <col min="2" max="3" width="10.81640625" style="2" customWidth="1"/>
    <col min="4" max="4" width="11.453125" style="3"/>
    <col min="5" max="16" width="11.453125" style="2"/>
    <col min="17" max="17" width="11.54296875" style="2" customWidth="1"/>
    <col min="18" max="16384" width="11.453125" style="2"/>
  </cols>
  <sheetData>
    <row r="1" spans="1:21" ht="13" x14ac:dyDescent="0.3">
      <c r="A1" s="1" t="s">
        <v>8</v>
      </c>
      <c r="B1" s="1" t="s">
        <v>9</v>
      </c>
      <c r="C1" s="1" t="s">
        <v>16</v>
      </c>
      <c r="D1" s="1" t="s">
        <v>10</v>
      </c>
    </row>
    <row r="2" spans="1:21" ht="13" x14ac:dyDescent="0.3">
      <c r="A2" s="1"/>
      <c r="B2" s="1"/>
      <c r="C2" s="1"/>
      <c r="D2" s="1"/>
      <c r="S2" s="12"/>
    </row>
    <row r="3" spans="1:21" x14ac:dyDescent="0.25">
      <c r="A3" s="666" t="s">
        <v>4</v>
      </c>
      <c r="E3" s="5"/>
      <c r="F3" s="5"/>
      <c r="G3" s="5"/>
      <c r="H3" s="5"/>
      <c r="I3" s="5"/>
      <c r="J3" s="5"/>
      <c r="K3" s="5"/>
      <c r="L3" s="5"/>
      <c r="M3" s="5"/>
      <c r="N3" s="5"/>
      <c r="O3" s="5"/>
      <c r="P3" s="5"/>
      <c r="Q3" s="5"/>
    </row>
    <row r="4" spans="1:21" x14ac:dyDescent="0.25">
      <c r="A4" s="8" t="s">
        <v>6</v>
      </c>
      <c r="F4" s="651"/>
      <c r="G4" s="651"/>
      <c r="H4" s="651"/>
      <c r="I4" s="651"/>
      <c r="J4" s="651"/>
      <c r="K4" s="651"/>
      <c r="L4" s="651"/>
      <c r="M4" s="651"/>
      <c r="N4" s="651"/>
    </row>
    <row r="6" spans="1:21" s="671" customFormat="1" ht="15.5" x14ac:dyDescent="0.35">
      <c r="A6" s="668" t="s">
        <v>60</v>
      </c>
      <c r="B6" s="669"/>
      <c r="C6" s="669"/>
      <c r="D6" s="670"/>
      <c r="E6" s="669"/>
      <c r="F6" s="669"/>
      <c r="G6" s="669"/>
      <c r="H6" s="669"/>
      <c r="I6" s="669"/>
      <c r="J6" s="669"/>
      <c r="K6" s="669"/>
      <c r="L6" s="669"/>
      <c r="M6" s="669"/>
      <c r="N6" s="669"/>
      <c r="O6" s="669"/>
      <c r="P6" s="669"/>
      <c r="Q6" s="669"/>
      <c r="R6" s="669"/>
      <c r="S6" s="669"/>
      <c r="T6" s="669"/>
      <c r="U6" s="669"/>
    </row>
    <row r="8" spans="1:21" ht="13" x14ac:dyDescent="0.3">
      <c r="A8" s="1" t="s">
        <v>53</v>
      </c>
      <c r="B8" s="1"/>
      <c r="C8" s="1"/>
      <c r="D8" s="1"/>
      <c r="N8" s="680"/>
      <c r="O8" s="680"/>
      <c r="P8" s="680"/>
      <c r="Q8" s="680"/>
      <c r="R8" s="680"/>
      <c r="S8" s="680"/>
      <c r="T8" s="680"/>
      <c r="U8" s="680"/>
    </row>
    <row r="9" spans="1:21" ht="13" x14ac:dyDescent="0.3">
      <c r="E9" s="660">
        <v>2000</v>
      </c>
      <c r="F9" s="660">
        <v>2001</v>
      </c>
      <c r="G9" s="660">
        <v>2002</v>
      </c>
      <c r="H9" s="660">
        <v>2003</v>
      </c>
      <c r="I9" s="660">
        <v>2004</v>
      </c>
      <c r="J9" s="660">
        <v>2005</v>
      </c>
      <c r="K9" s="660">
        <v>2006</v>
      </c>
      <c r="L9" s="660">
        <v>2007</v>
      </c>
      <c r="M9" s="660">
        <v>2008</v>
      </c>
      <c r="N9" s="660">
        <v>2009</v>
      </c>
      <c r="O9" s="660">
        <v>2010</v>
      </c>
      <c r="P9" s="660">
        <v>2011</v>
      </c>
      <c r="Q9" s="660">
        <v>2012</v>
      </c>
      <c r="R9" s="660">
        <v>2013</v>
      </c>
      <c r="S9" s="660">
        <v>2014</v>
      </c>
      <c r="T9" s="661">
        <v>2015</v>
      </c>
      <c r="U9" s="661">
        <v>2016</v>
      </c>
    </row>
    <row r="10" spans="1:21" x14ac:dyDescent="0.25">
      <c r="A10" s="654" t="s">
        <v>15</v>
      </c>
      <c r="B10" s="654" t="s">
        <v>11</v>
      </c>
      <c r="C10" s="656" t="s">
        <v>17</v>
      </c>
      <c r="D10" s="657" t="s">
        <v>68</v>
      </c>
      <c r="E10" s="667">
        <f t="shared" ref="E10:S10" si="0">E60</f>
        <v>212.33</v>
      </c>
      <c r="F10" s="667">
        <f t="shared" si="0"/>
        <v>189.81</v>
      </c>
      <c r="G10" s="667">
        <f t="shared" si="0"/>
        <v>200.97</v>
      </c>
      <c r="H10" s="667">
        <f t="shared" si="0"/>
        <v>200.9</v>
      </c>
      <c r="I10" s="667">
        <f t="shared" si="0"/>
        <v>186.91</v>
      </c>
      <c r="J10" s="667">
        <f t="shared" si="0"/>
        <v>264.48</v>
      </c>
      <c r="K10" s="667">
        <f t="shared" si="0"/>
        <v>295.47000000000003</v>
      </c>
      <c r="L10" s="667">
        <f t="shared" si="0"/>
        <v>311.48</v>
      </c>
      <c r="M10" s="667">
        <f t="shared" si="0"/>
        <v>401.97</v>
      </c>
      <c r="N10" s="667">
        <f t="shared" si="0"/>
        <v>317.99</v>
      </c>
      <c r="O10" s="667">
        <f t="shared" si="0"/>
        <v>411.66</v>
      </c>
      <c r="P10" s="667">
        <f t="shared" si="0"/>
        <v>523.36</v>
      </c>
      <c r="Q10" s="667">
        <f t="shared" si="0"/>
        <v>600.61</v>
      </c>
      <c r="R10" s="667">
        <f t="shared" si="0"/>
        <v>551.94000000000005</v>
      </c>
      <c r="S10" s="667">
        <f t="shared" si="0"/>
        <v>516.88</v>
      </c>
      <c r="T10" s="667">
        <f t="shared" ref="T10:U10" si="1">T60</f>
        <v>370.48083333333329</v>
      </c>
      <c r="U10" s="667">
        <f t="shared" si="1"/>
        <v>300</v>
      </c>
    </row>
    <row r="11" spans="1:21" x14ac:dyDescent="0.25">
      <c r="A11" s="654" t="s">
        <v>15</v>
      </c>
      <c r="B11" s="654" t="s">
        <v>11</v>
      </c>
      <c r="C11" s="656" t="s">
        <v>17</v>
      </c>
      <c r="D11" s="657" t="s">
        <v>214</v>
      </c>
      <c r="E11" s="667">
        <f t="shared" ref="E11:U11" si="2">E10/$B$121</f>
        <v>19.109891098910989</v>
      </c>
      <c r="F11" s="667">
        <f t="shared" si="2"/>
        <v>17.083070830708305</v>
      </c>
      <c r="G11" s="667">
        <f t="shared" si="2"/>
        <v>18.087480874808747</v>
      </c>
      <c r="H11" s="667">
        <f t="shared" si="2"/>
        <v>18.081180811808117</v>
      </c>
      <c r="I11" s="667">
        <f t="shared" si="2"/>
        <v>16.822068220682205</v>
      </c>
      <c r="J11" s="667">
        <f t="shared" si="2"/>
        <v>23.803438034380346</v>
      </c>
      <c r="K11" s="667">
        <f t="shared" si="2"/>
        <v>26.592565925659258</v>
      </c>
      <c r="L11" s="667">
        <f t="shared" si="2"/>
        <v>28.033480334803347</v>
      </c>
      <c r="M11" s="667">
        <f t="shared" si="2"/>
        <v>36.177661776617768</v>
      </c>
      <c r="N11" s="667">
        <f t="shared" si="2"/>
        <v>28.619386193861938</v>
      </c>
      <c r="O11" s="667">
        <f t="shared" si="2"/>
        <v>37.049770497704976</v>
      </c>
      <c r="P11" s="667">
        <f t="shared" si="2"/>
        <v>47.102871028710283</v>
      </c>
      <c r="Q11" s="667">
        <f t="shared" si="2"/>
        <v>54.055440554405543</v>
      </c>
      <c r="R11" s="667">
        <f t="shared" si="2"/>
        <v>49.675096750967512</v>
      </c>
      <c r="S11" s="667">
        <f t="shared" si="2"/>
        <v>46.519665196651964</v>
      </c>
      <c r="T11" s="667">
        <f t="shared" si="2"/>
        <v>33.343608436084352</v>
      </c>
      <c r="U11" s="667">
        <f t="shared" si="2"/>
        <v>27.000270002700024</v>
      </c>
    </row>
    <row r="12" spans="1:21" x14ac:dyDescent="0.25">
      <c r="A12" s="654" t="s">
        <v>18</v>
      </c>
      <c r="B12" s="654" t="s">
        <v>11</v>
      </c>
      <c r="C12" s="656" t="s">
        <v>19</v>
      </c>
      <c r="D12" s="657" t="s">
        <v>68</v>
      </c>
      <c r="E12" s="667">
        <f t="shared" ref="E12:U12" si="3">E61/$B$131</f>
        <v>780.40833333333342</v>
      </c>
      <c r="F12" s="667">
        <f t="shared" si="3"/>
        <v>798.50000000000011</v>
      </c>
      <c r="G12" s="667">
        <f t="shared" si="3"/>
        <v>791.99166666666667</v>
      </c>
      <c r="H12" s="667">
        <f t="shared" si="3"/>
        <v>874.375</v>
      </c>
      <c r="I12" s="667">
        <f t="shared" si="3"/>
        <v>899.23333333333335</v>
      </c>
      <c r="J12" s="667">
        <f t="shared" si="3"/>
        <v>1026.7083333333333</v>
      </c>
      <c r="K12" s="667">
        <f t="shared" si="3"/>
        <v>1139.2166666666667</v>
      </c>
      <c r="L12" s="667">
        <f t="shared" si="3"/>
        <v>1157.7583333333334</v>
      </c>
      <c r="M12" s="667">
        <f t="shared" si="3"/>
        <v>1307.1416666666667</v>
      </c>
      <c r="N12" s="667">
        <f t="shared" si="3"/>
        <v>1137.8500000000001</v>
      </c>
      <c r="O12" s="667">
        <f t="shared" si="3"/>
        <v>1212.9166666666667</v>
      </c>
      <c r="P12" s="667">
        <f t="shared" si="3"/>
        <v>1391.9166666666667</v>
      </c>
      <c r="Q12" s="667">
        <f t="shared" si="3"/>
        <v>1492.575</v>
      </c>
      <c r="R12" s="667">
        <f t="shared" si="3"/>
        <v>1518.5833333333333</v>
      </c>
      <c r="S12" s="667">
        <f t="shared" si="3"/>
        <v>1421.1775347222224</v>
      </c>
      <c r="T12" s="667">
        <f t="shared" si="3"/>
        <v>1328.8995486111112</v>
      </c>
      <c r="U12" s="667">
        <f t="shared" si="3"/>
        <v>1266.6915184027778</v>
      </c>
    </row>
    <row r="13" spans="1:21" x14ac:dyDescent="0.25">
      <c r="A13" s="654" t="s">
        <v>21</v>
      </c>
      <c r="B13" s="654" t="s">
        <v>11</v>
      </c>
      <c r="C13" s="656"/>
      <c r="D13" s="657" t="s">
        <v>70</v>
      </c>
      <c r="E13" s="667">
        <f t="shared" ref="E13:U13" si="4">E62/$B$131</f>
        <v>0.70833333333333337</v>
      </c>
      <c r="F13" s="667">
        <f t="shared" si="4"/>
        <v>0.66666666666666674</v>
      </c>
      <c r="G13" s="667">
        <f t="shared" si="4"/>
        <v>0.64166666666666672</v>
      </c>
      <c r="H13" s="667">
        <f t="shared" si="4"/>
        <v>0.65833333333333344</v>
      </c>
      <c r="I13" s="667">
        <f t="shared" si="4"/>
        <v>0.73333333333333339</v>
      </c>
      <c r="J13" s="667">
        <f t="shared" si="4"/>
        <v>0.85833333333333339</v>
      </c>
      <c r="K13" s="667">
        <f t="shared" si="4"/>
        <v>0.90000000000000013</v>
      </c>
      <c r="L13" s="667">
        <f t="shared" si="4"/>
        <v>0.90833333333333344</v>
      </c>
      <c r="M13" s="667">
        <f t="shared" si="4"/>
        <v>1.0583333333333333</v>
      </c>
      <c r="N13" s="667">
        <f t="shared" si="4"/>
        <v>0.83333333333333337</v>
      </c>
      <c r="O13" s="667">
        <f t="shared" si="4"/>
        <v>0.95833333333333326</v>
      </c>
      <c r="P13" s="667">
        <f t="shared" si="4"/>
        <v>1.1166666666666667</v>
      </c>
      <c r="Q13" s="667">
        <f t="shared" si="4"/>
        <v>1.1666666666666667</v>
      </c>
      <c r="R13" s="667">
        <f t="shared" si="4"/>
        <v>1.1250000000000002</v>
      </c>
      <c r="S13" s="667">
        <f t="shared" si="4"/>
        <v>1.0750000000000002</v>
      </c>
      <c r="T13" s="667">
        <f t="shared" si="4"/>
        <v>0.95761805555555546</v>
      </c>
      <c r="U13" s="667">
        <f t="shared" si="4"/>
        <v>0.85366666666666668</v>
      </c>
    </row>
    <row r="14" spans="1:21" x14ac:dyDescent="0.25">
      <c r="A14" s="654" t="s">
        <v>18</v>
      </c>
      <c r="B14" s="654" t="s">
        <v>11</v>
      </c>
      <c r="C14" s="656" t="s">
        <v>19</v>
      </c>
      <c r="D14" s="657" t="s">
        <v>214</v>
      </c>
      <c r="E14" s="667">
        <f t="shared" ref="E14:U14" si="5">E12/$B$123</f>
        <v>58.721469776774526</v>
      </c>
      <c r="F14" s="667">
        <f t="shared" si="5"/>
        <v>60.08276899924757</v>
      </c>
      <c r="G14" s="667">
        <f t="shared" si="5"/>
        <v>59.593052420366192</v>
      </c>
      <c r="H14" s="667">
        <f t="shared" si="5"/>
        <v>65.791948833709554</v>
      </c>
      <c r="I14" s="667">
        <f t="shared" si="5"/>
        <v>67.662402809129674</v>
      </c>
      <c r="J14" s="667">
        <f t="shared" si="5"/>
        <v>77.25420115374969</v>
      </c>
      <c r="K14" s="667">
        <f t="shared" si="5"/>
        <v>85.719839478304493</v>
      </c>
      <c r="L14" s="667">
        <f t="shared" si="5"/>
        <v>87.114998745924268</v>
      </c>
      <c r="M14" s="667">
        <f t="shared" si="5"/>
        <v>98.355279658891405</v>
      </c>
      <c r="N14" s="667">
        <f t="shared" si="5"/>
        <v>85.617005267118145</v>
      </c>
      <c r="O14" s="667">
        <f t="shared" si="5"/>
        <v>91.265362427890651</v>
      </c>
      <c r="P14" s="667">
        <f t="shared" si="5"/>
        <v>104.73413594181089</v>
      </c>
      <c r="Q14" s="667">
        <f t="shared" si="5"/>
        <v>112.30812641083523</v>
      </c>
      <c r="R14" s="667">
        <f t="shared" si="5"/>
        <v>114.26511161274141</v>
      </c>
      <c r="S14" s="667">
        <f t="shared" si="5"/>
        <v>106.93585663824096</v>
      </c>
      <c r="T14" s="667">
        <f t="shared" si="5"/>
        <v>99.992441580971501</v>
      </c>
      <c r="U14" s="667">
        <f t="shared" si="5"/>
        <v>95.311626666875682</v>
      </c>
    </row>
    <row r="15" spans="1:21" x14ac:dyDescent="0.25">
      <c r="A15" s="654" t="s">
        <v>21</v>
      </c>
      <c r="B15" s="654" t="s">
        <v>11</v>
      </c>
      <c r="C15" s="656" t="s">
        <v>172</v>
      </c>
      <c r="D15" s="657" t="s">
        <v>242</v>
      </c>
      <c r="E15" s="667">
        <f t="shared" ref="E15:U15" si="6">E13/$B$125</f>
        <v>70.833333333333329</v>
      </c>
      <c r="F15" s="667">
        <f t="shared" si="6"/>
        <v>66.666666666666671</v>
      </c>
      <c r="G15" s="667">
        <f t="shared" si="6"/>
        <v>64.166666666666671</v>
      </c>
      <c r="H15" s="667">
        <f t="shared" si="6"/>
        <v>65.833333333333343</v>
      </c>
      <c r="I15" s="667">
        <f t="shared" si="6"/>
        <v>73.333333333333343</v>
      </c>
      <c r="J15" s="667">
        <f t="shared" si="6"/>
        <v>85.833333333333343</v>
      </c>
      <c r="K15" s="667">
        <f t="shared" si="6"/>
        <v>90.000000000000014</v>
      </c>
      <c r="L15" s="667">
        <f t="shared" si="6"/>
        <v>90.833333333333343</v>
      </c>
      <c r="M15" s="667">
        <f t="shared" si="6"/>
        <v>105.83333333333333</v>
      </c>
      <c r="N15" s="667">
        <f t="shared" si="6"/>
        <v>83.333333333333329</v>
      </c>
      <c r="O15" s="667">
        <f t="shared" si="6"/>
        <v>95.833333333333329</v>
      </c>
      <c r="P15" s="667">
        <f t="shared" si="6"/>
        <v>111.66666666666667</v>
      </c>
      <c r="Q15" s="667">
        <f t="shared" si="6"/>
        <v>116.66666666666667</v>
      </c>
      <c r="R15" s="667">
        <f t="shared" si="6"/>
        <v>112.50000000000001</v>
      </c>
      <c r="S15" s="667">
        <f t="shared" si="6"/>
        <v>107.50000000000001</v>
      </c>
      <c r="T15" s="667">
        <f t="shared" si="6"/>
        <v>95.76180555555554</v>
      </c>
      <c r="U15" s="667">
        <f t="shared" si="6"/>
        <v>85.36666666666666</v>
      </c>
    </row>
    <row r="16" spans="1:21" x14ac:dyDescent="0.25">
      <c r="A16" s="654" t="s">
        <v>128</v>
      </c>
      <c r="B16" s="654" t="s">
        <v>11</v>
      </c>
      <c r="C16" s="656" t="s">
        <v>175</v>
      </c>
      <c r="D16" s="657" t="s">
        <v>242</v>
      </c>
      <c r="E16" s="667"/>
      <c r="F16" s="667"/>
      <c r="G16" s="667"/>
      <c r="H16" s="667"/>
      <c r="I16" s="667">
        <f t="shared" ref="I16:U16" si="7">I63*10/$B$131</f>
        <v>37.583333333333329</v>
      </c>
      <c r="J16" s="667">
        <f t="shared" si="7"/>
        <v>49.083333333333336</v>
      </c>
      <c r="K16" s="667">
        <f t="shared" si="7"/>
        <v>54.25</v>
      </c>
      <c r="L16" s="667">
        <f t="shared" si="7"/>
        <v>54.416666666666664</v>
      </c>
      <c r="M16" s="667">
        <f t="shared" si="7"/>
        <v>69.666666666666671</v>
      </c>
      <c r="N16" s="667">
        <f t="shared" si="7"/>
        <v>48.083333333333329</v>
      </c>
      <c r="O16" s="667">
        <f t="shared" si="7"/>
        <v>59.833333333333336</v>
      </c>
      <c r="P16" s="667">
        <f t="shared" si="7"/>
        <v>74.166666666666671</v>
      </c>
      <c r="Q16" s="667">
        <f t="shared" si="7"/>
        <v>81</v>
      </c>
      <c r="R16" s="667">
        <f t="shared" si="7"/>
        <v>77.5</v>
      </c>
      <c r="S16" s="667">
        <f t="shared" si="7"/>
        <v>71.833333333333329</v>
      </c>
      <c r="T16" s="667">
        <f t="shared" si="7"/>
        <v>59.26819444444444</v>
      </c>
      <c r="U16" s="667">
        <f t="shared" si="7"/>
        <v>47.300000000000004</v>
      </c>
    </row>
    <row r="17" spans="1:22" x14ac:dyDescent="0.25">
      <c r="D17" s="53"/>
      <c r="E17" s="6"/>
      <c r="F17" s="6"/>
      <c r="G17" s="6"/>
      <c r="H17" s="6"/>
      <c r="I17" s="6"/>
      <c r="J17" s="6"/>
      <c r="K17" s="6"/>
      <c r="L17" s="6"/>
      <c r="M17" s="6"/>
      <c r="N17" s="6"/>
      <c r="O17" s="6"/>
      <c r="P17" s="6"/>
      <c r="Q17" s="6"/>
      <c r="R17" s="6"/>
      <c r="S17" s="6"/>
    </row>
    <row r="18" spans="1:22" ht="13" x14ac:dyDescent="0.3">
      <c r="A18" s="1" t="s">
        <v>54</v>
      </c>
      <c r="B18" s="1"/>
      <c r="C18" s="1"/>
      <c r="D18" s="1"/>
      <c r="E18" s="15"/>
      <c r="F18" s="15"/>
      <c r="G18" s="15"/>
      <c r="H18" s="15"/>
      <c r="I18" s="15"/>
      <c r="J18" s="15"/>
      <c r="K18" s="15"/>
      <c r="L18" s="15"/>
      <c r="M18" s="15"/>
      <c r="N18" s="15"/>
      <c r="O18" s="15"/>
      <c r="P18" s="15"/>
      <c r="Q18" s="15"/>
      <c r="R18" s="15"/>
      <c r="S18" s="15"/>
    </row>
    <row r="19" spans="1:22" ht="13" x14ac:dyDescent="0.3">
      <c r="E19" s="660">
        <v>2000</v>
      </c>
      <c r="F19" s="660">
        <v>2001</v>
      </c>
      <c r="G19" s="660">
        <v>2002</v>
      </c>
      <c r="H19" s="660">
        <v>2003</v>
      </c>
      <c r="I19" s="660">
        <v>2004</v>
      </c>
      <c r="J19" s="660">
        <v>2005</v>
      </c>
      <c r="K19" s="660">
        <v>2006</v>
      </c>
      <c r="L19" s="660">
        <v>2007</v>
      </c>
      <c r="M19" s="660">
        <v>2008</v>
      </c>
      <c r="N19" s="660">
        <v>2009</v>
      </c>
      <c r="O19" s="660">
        <v>2010</v>
      </c>
      <c r="P19" s="660">
        <v>2011</v>
      </c>
      <c r="Q19" s="660">
        <v>2012</v>
      </c>
      <c r="R19" s="660">
        <v>2013</v>
      </c>
      <c r="S19" s="660">
        <v>2014</v>
      </c>
      <c r="T19" s="661">
        <v>2015</v>
      </c>
      <c r="U19" s="661">
        <v>2016</v>
      </c>
    </row>
    <row r="20" spans="1:22" x14ac:dyDescent="0.25">
      <c r="A20" s="654" t="s">
        <v>59</v>
      </c>
      <c r="B20" s="654" t="s">
        <v>11</v>
      </c>
      <c r="C20" s="656" t="s">
        <v>81</v>
      </c>
      <c r="D20" s="657" t="s">
        <v>1</v>
      </c>
      <c r="E20" s="667">
        <f t="shared" ref="E20:Q20" si="8">E67</f>
        <v>28.52</v>
      </c>
      <c r="F20" s="667">
        <f t="shared" si="8"/>
        <v>24.44</v>
      </c>
      <c r="G20" s="667">
        <f t="shared" si="8"/>
        <v>24.95</v>
      </c>
      <c r="H20" s="667">
        <f t="shared" si="8"/>
        <v>28.89</v>
      </c>
      <c r="I20" s="667">
        <f t="shared" si="8"/>
        <v>38.24</v>
      </c>
      <c r="J20" s="667">
        <f t="shared" si="8"/>
        <v>54.41</v>
      </c>
      <c r="K20" s="667">
        <f t="shared" si="8"/>
        <v>65.14</v>
      </c>
      <c r="L20" s="667">
        <f t="shared" si="8"/>
        <v>72.45</v>
      </c>
      <c r="M20" s="667">
        <f t="shared" si="8"/>
        <v>96.99</v>
      </c>
      <c r="N20" s="667">
        <f t="shared" si="8"/>
        <v>61.48</v>
      </c>
      <c r="O20" s="667">
        <f t="shared" si="8"/>
        <v>79.44</v>
      </c>
      <c r="P20" s="667">
        <f t="shared" si="8"/>
        <v>111.22</v>
      </c>
      <c r="Q20" s="667">
        <f t="shared" si="8"/>
        <v>111.66</v>
      </c>
      <c r="R20" s="667">
        <f>R67</f>
        <v>108.63</v>
      </c>
      <c r="S20" s="667">
        <f>S67</f>
        <v>99.02</v>
      </c>
      <c r="T20" s="667">
        <f>T67</f>
        <v>52.35</v>
      </c>
      <c r="U20" s="667">
        <f>U67</f>
        <v>40</v>
      </c>
    </row>
    <row r="21" spans="1:22" x14ac:dyDescent="0.25">
      <c r="A21" s="654" t="s">
        <v>59</v>
      </c>
      <c r="B21" s="654" t="s">
        <v>11</v>
      </c>
      <c r="C21" s="656" t="s">
        <v>81</v>
      </c>
      <c r="D21" s="657" t="s">
        <v>0</v>
      </c>
      <c r="E21" s="667">
        <f t="shared" ref="E21:U21" si="9">E20*E25*$B$119</f>
        <v>227.86624399999999</v>
      </c>
      <c r="F21" s="667">
        <f t="shared" si="9"/>
        <v>200.64262400000004</v>
      </c>
      <c r="G21" s="667">
        <f t="shared" si="9"/>
        <v>193.85650999999999</v>
      </c>
      <c r="H21" s="667">
        <f t="shared" si="9"/>
        <v>188.46969300000001</v>
      </c>
      <c r="I21" s="667">
        <f t="shared" si="9"/>
        <v>224.23936</v>
      </c>
      <c r="J21" s="667">
        <f t="shared" si="9"/>
        <v>319.06024000000002</v>
      </c>
      <c r="K21" s="667">
        <f t="shared" si="9"/>
        <v>381.98096000000004</v>
      </c>
      <c r="L21" s="667">
        <f t="shared" si="9"/>
        <v>387.67270500000001</v>
      </c>
      <c r="M21" s="667">
        <f t="shared" si="9"/>
        <v>483.43695599999995</v>
      </c>
      <c r="N21" s="667">
        <f t="shared" si="9"/>
        <v>324.46684799999997</v>
      </c>
      <c r="O21" s="667">
        <f t="shared" si="9"/>
        <v>442.544352</v>
      </c>
      <c r="P21" s="667">
        <f t="shared" si="9"/>
        <v>586.97467200000006</v>
      </c>
      <c r="Q21" s="667">
        <f t="shared" si="9"/>
        <v>638.40488400000004</v>
      </c>
      <c r="R21" s="667">
        <f t="shared" si="9"/>
        <v>599.18406975000005</v>
      </c>
      <c r="S21" s="667">
        <f t="shared" si="9"/>
        <v>535.49135822222217</v>
      </c>
      <c r="T21" s="667">
        <f t="shared" si="9"/>
        <v>344.39363624999999</v>
      </c>
      <c r="U21" s="667">
        <f t="shared" si="9"/>
        <v>269.74400000000003</v>
      </c>
    </row>
    <row r="22" spans="1:22" x14ac:dyDescent="0.25">
      <c r="A22" s="654" t="s">
        <v>59</v>
      </c>
      <c r="B22" s="654" t="s">
        <v>11</v>
      </c>
      <c r="C22" s="656" t="s">
        <v>81</v>
      </c>
      <c r="D22" s="657" t="s">
        <v>61</v>
      </c>
      <c r="E22" s="667">
        <f t="shared" ref="E22:U22" si="10">E20*E25/$B$118</f>
        <v>0.19553008322048365</v>
      </c>
      <c r="F22" s="667">
        <f t="shared" si="10"/>
        <v>0.17216972676433906</v>
      </c>
      <c r="G22" s="667">
        <f t="shared" si="10"/>
        <v>0.16634662013884127</v>
      </c>
      <c r="H22" s="667">
        <f t="shared" si="10"/>
        <v>0.16172423835111358</v>
      </c>
      <c r="I22" s="667">
        <f t="shared" si="10"/>
        <v>0.19241788495055895</v>
      </c>
      <c r="J22" s="667">
        <f t="shared" si="10"/>
        <v>0.27378287448116922</v>
      </c>
      <c r="K22" s="667">
        <f t="shared" si="10"/>
        <v>0.32777460841211847</v>
      </c>
      <c r="L22" s="667">
        <f t="shared" si="10"/>
        <v>0.33265864631954878</v>
      </c>
      <c r="M22" s="667">
        <f t="shared" si="10"/>
        <v>0.41483313447048908</v>
      </c>
      <c r="N22" s="667">
        <f t="shared" si="10"/>
        <v>0.27842223875743533</v>
      </c>
      <c r="O22" s="667">
        <f t="shared" si="10"/>
        <v>0.37974353926382798</v>
      </c>
      <c r="P22" s="667">
        <f t="shared" si="10"/>
        <v>0.503677966730676</v>
      </c>
      <c r="Q22" s="667">
        <f t="shared" si="10"/>
        <v>0.54780979361244575</v>
      </c>
      <c r="R22" s="667">
        <f t="shared" si="10"/>
        <v>0.51415474695148611</v>
      </c>
      <c r="S22" s="667">
        <f t="shared" si="10"/>
        <v>0.45950057366566727</v>
      </c>
      <c r="T22" s="667">
        <f t="shared" si="10"/>
        <v>0.2955212460366331</v>
      </c>
      <c r="U22" s="667">
        <f t="shared" si="10"/>
        <v>0.23146502896772259</v>
      </c>
    </row>
    <row r="23" spans="1:22" x14ac:dyDescent="0.25">
      <c r="A23" s="654" t="s">
        <v>58</v>
      </c>
      <c r="B23" s="654" t="s">
        <v>11</v>
      </c>
      <c r="C23" s="656" t="s">
        <v>80</v>
      </c>
      <c r="D23" s="657" t="s">
        <v>71</v>
      </c>
      <c r="E23" s="667">
        <f>E68</f>
        <v>2.86</v>
      </c>
      <c r="F23" s="667">
        <f t="shared" ref="F23:Q23" si="11">F68</f>
        <v>3.18</v>
      </c>
      <c r="G23" s="667">
        <f t="shared" si="11"/>
        <v>2.54</v>
      </c>
      <c r="H23" s="667">
        <f t="shared" si="11"/>
        <v>3.4</v>
      </c>
      <c r="I23" s="667">
        <f t="shared" si="11"/>
        <v>4.7699999999999996</v>
      </c>
      <c r="J23" s="667">
        <f t="shared" si="11"/>
        <v>7.45</v>
      </c>
      <c r="K23" s="667">
        <f t="shared" si="11"/>
        <v>8.39</v>
      </c>
      <c r="L23" s="667">
        <f t="shared" si="11"/>
        <v>6.12</v>
      </c>
      <c r="M23" s="667">
        <f t="shared" si="11"/>
        <v>11.39</v>
      </c>
      <c r="N23" s="667">
        <f t="shared" si="11"/>
        <v>4.95</v>
      </c>
      <c r="O23" s="667">
        <f t="shared" si="11"/>
        <v>6.7</v>
      </c>
      <c r="P23" s="667">
        <f t="shared" si="11"/>
        <v>9.81</v>
      </c>
      <c r="Q23" s="667">
        <f t="shared" si="11"/>
        <v>9.81</v>
      </c>
      <c r="R23" s="667">
        <f>R68</f>
        <v>10.652499999999998</v>
      </c>
      <c r="S23" s="667">
        <f>S68</f>
        <v>8.5</v>
      </c>
      <c r="T23" s="667">
        <f>T68</f>
        <v>7.4</v>
      </c>
      <c r="U23" s="667">
        <f>U68</f>
        <v>7</v>
      </c>
    </row>
    <row r="24" spans="1:22" x14ac:dyDescent="0.25">
      <c r="A24" s="654" t="s">
        <v>58</v>
      </c>
      <c r="B24" s="654" t="s">
        <v>11</v>
      </c>
      <c r="C24" s="656" t="s">
        <v>80</v>
      </c>
      <c r="D24" s="657" t="s">
        <v>62</v>
      </c>
      <c r="E24" s="667">
        <f t="shared" ref="E24:U24" si="12">E23*E25/$B$129</f>
        <v>10.637009244514386</v>
      </c>
      <c r="F24" s="667">
        <f t="shared" si="12"/>
        <v>12.152682403689756</v>
      </c>
      <c r="G24" s="667">
        <f t="shared" si="12"/>
        <v>9.1868491980273745</v>
      </c>
      <c r="H24" s="667">
        <f t="shared" si="12"/>
        <v>10.325139530987531</v>
      </c>
      <c r="I24" s="667">
        <f t="shared" si="12"/>
        <v>13.02073114681045</v>
      </c>
      <c r="J24" s="667">
        <f t="shared" si="12"/>
        <v>20.336362063676702</v>
      </c>
      <c r="K24" s="667">
        <f t="shared" si="12"/>
        <v>22.902292310637254</v>
      </c>
      <c r="L24" s="667">
        <f t="shared" si="12"/>
        <v>15.244082408671481</v>
      </c>
      <c r="M24" s="667">
        <f t="shared" si="12"/>
        <v>26.427716687179327</v>
      </c>
      <c r="N24" s="667">
        <f t="shared" si="12"/>
        <v>12.160871542775798</v>
      </c>
      <c r="O24" s="667">
        <f t="shared" si="12"/>
        <v>17.374623427557342</v>
      </c>
      <c r="P24" s="667">
        <f t="shared" si="12"/>
        <v>24.100636330228401</v>
      </c>
      <c r="Q24" s="667">
        <f t="shared" si="12"/>
        <v>26.109022691080771</v>
      </c>
      <c r="R24" s="667">
        <f t="shared" si="12"/>
        <v>27.351745873271021</v>
      </c>
      <c r="S24" s="667">
        <f t="shared" si="12"/>
        <v>21.397917130386148</v>
      </c>
      <c r="T24" s="667">
        <f t="shared" si="12"/>
        <v>22.661736349984697</v>
      </c>
      <c r="U24" s="667">
        <f t="shared" si="12"/>
        <v>21.974189880885564</v>
      </c>
    </row>
    <row r="25" spans="1:22" x14ac:dyDescent="0.25">
      <c r="A25" s="654" t="s">
        <v>56</v>
      </c>
      <c r="B25" s="654" t="s">
        <v>11</v>
      </c>
      <c r="C25" s="656" t="s">
        <v>82</v>
      </c>
      <c r="D25" s="657" t="s">
        <v>83</v>
      </c>
      <c r="E25" s="667">
        <f>E69</f>
        <v>1.0900000000000001</v>
      </c>
      <c r="F25" s="667">
        <f t="shared" ref="F25:Q25" si="13">F69</f>
        <v>1.1200000000000001</v>
      </c>
      <c r="G25" s="667">
        <f t="shared" si="13"/>
        <v>1.06</v>
      </c>
      <c r="H25" s="667">
        <f t="shared" si="13"/>
        <v>0.89</v>
      </c>
      <c r="I25" s="667">
        <f t="shared" si="13"/>
        <v>0.8</v>
      </c>
      <c r="J25" s="667">
        <f t="shared" si="13"/>
        <v>0.8</v>
      </c>
      <c r="K25" s="667">
        <f t="shared" si="13"/>
        <v>0.8</v>
      </c>
      <c r="L25" s="667">
        <f t="shared" si="13"/>
        <v>0.73</v>
      </c>
      <c r="M25" s="667">
        <f t="shared" si="13"/>
        <v>0.68</v>
      </c>
      <c r="N25" s="667">
        <f t="shared" si="13"/>
        <v>0.72</v>
      </c>
      <c r="O25" s="667">
        <f t="shared" si="13"/>
        <v>0.76</v>
      </c>
      <c r="P25" s="667">
        <f t="shared" si="13"/>
        <v>0.72</v>
      </c>
      <c r="Q25" s="667">
        <f t="shared" si="13"/>
        <v>0.78</v>
      </c>
      <c r="R25" s="667">
        <f>R69</f>
        <v>0.75250000000000006</v>
      </c>
      <c r="S25" s="667">
        <f>S69</f>
        <v>0.73777777777777775</v>
      </c>
      <c r="T25" s="667">
        <f>T69</f>
        <v>0.89749999999999996</v>
      </c>
      <c r="U25" s="667">
        <f>U69</f>
        <v>0.92</v>
      </c>
    </row>
    <row r="26" spans="1:22" x14ac:dyDescent="0.25">
      <c r="E26" s="5"/>
      <c r="F26" s="5"/>
      <c r="G26" s="5"/>
      <c r="H26" s="5"/>
      <c r="I26" s="5"/>
      <c r="J26" s="112"/>
      <c r="K26" s="112"/>
      <c r="L26" s="112"/>
      <c r="M26" s="112"/>
      <c r="N26" s="112"/>
      <c r="O26" s="112"/>
      <c r="P26" s="112"/>
      <c r="Q26" s="112"/>
      <c r="R26" s="112"/>
      <c r="S26" s="112"/>
      <c r="T26" s="52"/>
      <c r="U26" s="52"/>
    </row>
    <row r="27" spans="1:22" ht="13" x14ac:dyDescent="0.3">
      <c r="A27" s="1" t="s">
        <v>57</v>
      </c>
      <c r="C27" s="10"/>
      <c r="E27" s="5"/>
      <c r="F27" s="5"/>
      <c r="G27" s="5"/>
      <c r="H27" s="5"/>
      <c r="I27" s="5"/>
      <c r="J27" s="5"/>
      <c r="K27" s="14"/>
      <c r="L27" s="14"/>
      <c r="M27" s="14"/>
      <c r="N27" s="14"/>
      <c r="O27" s="14"/>
      <c r="P27" s="14"/>
      <c r="Q27" s="14"/>
      <c r="R27" s="14"/>
      <c r="S27" s="14"/>
    </row>
    <row r="28" spans="1:22" ht="13" x14ac:dyDescent="0.3">
      <c r="E28" s="660">
        <v>2000</v>
      </c>
      <c r="F28" s="660">
        <v>2001</v>
      </c>
      <c r="G28" s="660">
        <v>2002</v>
      </c>
      <c r="H28" s="660">
        <v>2003</v>
      </c>
      <c r="I28" s="660">
        <v>2004</v>
      </c>
      <c r="J28" s="660">
        <v>2005</v>
      </c>
      <c r="K28" s="660">
        <v>2006</v>
      </c>
      <c r="L28" s="660">
        <v>2007</v>
      </c>
      <c r="M28" s="660">
        <v>2008</v>
      </c>
      <c r="N28" s="660">
        <v>2009</v>
      </c>
      <c r="O28" s="660">
        <v>2010</v>
      </c>
      <c r="P28" s="660">
        <v>2011</v>
      </c>
      <c r="Q28" s="660">
        <v>2012</v>
      </c>
      <c r="R28" s="660">
        <v>2013</v>
      </c>
      <c r="S28" s="660">
        <v>2014</v>
      </c>
      <c r="T28" s="661">
        <v>2015</v>
      </c>
      <c r="U28" s="661">
        <v>2016</v>
      </c>
    </row>
    <row r="29" spans="1:22" x14ac:dyDescent="0.25">
      <c r="A29" s="654" t="s">
        <v>57</v>
      </c>
      <c r="B29" s="654" t="s">
        <v>5</v>
      </c>
      <c r="C29" s="656" t="s">
        <v>395</v>
      </c>
      <c r="D29" s="657" t="s">
        <v>62</v>
      </c>
      <c r="E29" s="658"/>
      <c r="F29" s="658"/>
      <c r="G29" s="658"/>
      <c r="H29" s="658"/>
      <c r="I29" s="658"/>
      <c r="J29" s="658">
        <f t="shared" ref="J29:L35" ca="1" si="14">AVERAGE(OFFSET($E76,0,(COLUMN(J76)-COLUMN($E76))*2,1,2))*$B$128</f>
        <v>95.9</v>
      </c>
      <c r="K29" s="658">
        <f t="shared" ca="1" si="14"/>
        <v>95.9</v>
      </c>
      <c r="L29" s="658">
        <f t="shared" ca="1" si="14"/>
        <v>97.4</v>
      </c>
      <c r="M29" s="658">
        <f t="shared" ref="M29:U34" ca="1" si="15">AVERAGE(OFFSET($E85,0,(COLUMN(E85)-COLUMN($E85))*2,1,2))*$B$128</f>
        <v>109.5</v>
      </c>
      <c r="N29" s="658">
        <f t="shared" ca="1" si="15"/>
        <v>112.80000000000001</v>
      </c>
      <c r="O29" s="658">
        <f t="shared" ca="1" si="15"/>
        <v>120.39999999999999</v>
      </c>
      <c r="P29" s="658">
        <f t="shared" ca="1" si="15"/>
        <v>127.85000000000002</v>
      </c>
      <c r="Q29" s="658">
        <f t="shared" ca="1" si="15"/>
        <v>130.55000000000001</v>
      </c>
      <c r="R29" s="658">
        <f t="shared" ca="1" si="15"/>
        <v>135.30000000000001</v>
      </c>
      <c r="S29" s="658">
        <f t="shared" ca="1" si="15"/>
        <v>143.1</v>
      </c>
      <c r="T29" s="658">
        <f t="shared" ca="1" si="15"/>
        <v>147.50000000000003</v>
      </c>
      <c r="U29" s="658">
        <f t="shared" ca="1" si="15"/>
        <v>153.4</v>
      </c>
    </row>
    <row r="30" spans="1:22" s="9" customFormat="1" x14ac:dyDescent="0.25">
      <c r="A30" s="654" t="s">
        <v>57</v>
      </c>
      <c r="B30" s="654" t="s">
        <v>5</v>
      </c>
      <c r="C30" s="656" t="s">
        <v>396</v>
      </c>
      <c r="D30" s="657" t="s">
        <v>62</v>
      </c>
      <c r="E30" s="658"/>
      <c r="F30" s="658"/>
      <c r="G30" s="658"/>
      <c r="H30" s="658"/>
      <c r="I30" s="658"/>
      <c r="J30" s="658">
        <f t="shared" ca="1" si="14"/>
        <v>90.6</v>
      </c>
      <c r="K30" s="658">
        <f t="shared" ca="1" si="14"/>
        <v>91.300000000000011</v>
      </c>
      <c r="L30" s="658">
        <f t="shared" ca="1" si="14"/>
        <v>92.8</v>
      </c>
      <c r="M30" s="658">
        <f t="shared" ca="1" si="15"/>
        <v>82.699999999999989</v>
      </c>
      <c r="N30" s="658">
        <f t="shared" ca="1" si="15"/>
        <v>88.25</v>
      </c>
      <c r="O30" s="658">
        <f t="shared" ca="1" si="15"/>
        <v>91.5</v>
      </c>
      <c r="P30" s="658">
        <f t="shared" ca="1" si="15"/>
        <v>99.95</v>
      </c>
      <c r="Q30" s="658">
        <f t="shared" ca="1" si="15"/>
        <v>101.45</v>
      </c>
      <c r="R30" s="658">
        <f t="shared" ca="1" si="15"/>
        <v>110.55000000000001</v>
      </c>
      <c r="S30" s="658">
        <f t="shared" ca="1" si="15"/>
        <v>114.85000000000001</v>
      </c>
      <c r="T30" s="658">
        <f t="shared" ca="1" si="15"/>
        <v>120.04999999999998</v>
      </c>
      <c r="U30" s="658">
        <f t="shared" ca="1" si="15"/>
        <v>119.7</v>
      </c>
    </row>
    <row r="31" spans="1:22" s="9" customFormat="1" x14ac:dyDescent="0.25">
      <c r="A31" s="654" t="s">
        <v>57</v>
      </c>
      <c r="B31" s="654" t="s">
        <v>5</v>
      </c>
      <c r="C31" s="656" t="s">
        <v>397</v>
      </c>
      <c r="D31" s="657" t="s">
        <v>62</v>
      </c>
      <c r="E31" s="658"/>
      <c r="F31" s="658"/>
      <c r="G31" s="658"/>
      <c r="H31" s="658"/>
      <c r="I31" s="658"/>
      <c r="J31" s="658">
        <f t="shared" ca="1" si="14"/>
        <v>83.3</v>
      </c>
      <c r="K31" s="658">
        <f t="shared" ca="1" si="14"/>
        <v>84</v>
      </c>
      <c r="L31" s="658">
        <f t="shared" ca="1" si="14"/>
        <v>85.3</v>
      </c>
      <c r="M31" s="658">
        <f t="shared" ca="1" si="15"/>
        <v>63.4</v>
      </c>
      <c r="N31" s="658">
        <f t="shared" ca="1" si="15"/>
        <v>68.649999999999991</v>
      </c>
      <c r="O31" s="658">
        <f t="shared" ca="1" si="15"/>
        <v>74.699999999999989</v>
      </c>
      <c r="P31" s="658">
        <f t="shared" ca="1" si="15"/>
        <v>82.850000000000009</v>
      </c>
      <c r="Q31" s="658">
        <f t="shared" ca="1" si="15"/>
        <v>87.2</v>
      </c>
      <c r="R31" s="658">
        <f t="shared" ca="1" si="15"/>
        <v>91.05</v>
      </c>
      <c r="S31" s="658">
        <f t="shared" ca="1" si="15"/>
        <v>93.600000000000009</v>
      </c>
      <c r="T31" s="658">
        <f t="shared" ca="1" si="15"/>
        <v>97.7</v>
      </c>
      <c r="U31" s="658">
        <f t="shared" ca="1" si="15"/>
        <v>94.7</v>
      </c>
    </row>
    <row r="32" spans="1:22" s="9" customFormat="1" ht="13" x14ac:dyDescent="0.3">
      <c r="A32" s="676" t="s">
        <v>57</v>
      </c>
      <c r="B32" s="676" t="s">
        <v>5</v>
      </c>
      <c r="C32" s="676" t="s">
        <v>398</v>
      </c>
      <c r="D32" s="677" t="s">
        <v>62</v>
      </c>
      <c r="E32" s="679"/>
      <c r="F32" s="679"/>
      <c r="G32" s="679"/>
      <c r="H32" s="679"/>
      <c r="I32" s="679"/>
      <c r="J32" s="679">
        <f t="shared" ca="1" si="14"/>
        <v>67.400000000000006</v>
      </c>
      <c r="K32" s="679">
        <f t="shared" ca="1" si="14"/>
        <v>67.400000000000006</v>
      </c>
      <c r="L32" s="679">
        <f t="shared" ca="1" si="14"/>
        <v>68.5</v>
      </c>
      <c r="M32" s="679">
        <f t="shared" ca="1" si="15"/>
        <v>57.249999999999993</v>
      </c>
      <c r="N32" s="679">
        <f t="shared" ca="1" si="15"/>
        <v>64.900000000000006</v>
      </c>
      <c r="O32" s="679">
        <f t="shared" ca="1" si="15"/>
        <v>66.099999999999994</v>
      </c>
      <c r="P32" s="679">
        <f t="shared" ca="1" si="15"/>
        <v>72.099999999999994</v>
      </c>
      <c r="Q32" s="679">
        <f t="shared" ca="1" si="15"/>
        <v>75.550000000000011</v>
      </c>
      <c r="R32" s="679">
        <f t="shared" ca="1" si="15"/>
        <v>78.800000000000011</v>
      </c>
      <c r="S32" s="679">
        <f t="shared" ca="1" si="15"/>
        <v>80.900000000000006</v>
      </c>
      <c r="T32" s="679">
        <f t="shared" ca="1" si="15"/>
        <v>85.75</v>
      </c>
      <c r="U32" s="679">
        <f t="shared" ca="1" si="15"/>
        <v>83.7</v>
      </c>
      <c r="V32" s="681"/>
    </row>
    <row r="33" spans="1:21" s="9" customFormat="1" x14ac:dyDescent="0.25">
      <c r="A33" s="654" t="s">
        <v>57</v>
      </c>
      <c r="B33" s="654" t="s">
        <v>5</v>
      </c>
      <c r="C33" s="656" t="s">
        <v>399</v>
      </c>
      <c r="D33" s="657" t="s">
        <v>62</v>
      </c>
      <c r="E33" s="658">
        <f ca="1">AVERAGE(OFFSET($E80,0,(COLUMN(E80)-COLUMN($E80))*2,1,2))*$B$128</f>
        <v>55.7</v>
      </c>
      <c r="F33" s="658">
        <f ca="1">AVERAGE(OFFSET($E80,0,(COLUMN(F80)-COLUMN($E80))*2,1,2))*$B$128</f>
        <v>55.5</v>
      </c>
      <c r="G33" s="658">
        <f ca="1">AVERAGE(OFFSET($E80,0,(COLUMN(G80)-COLUMN($E80))*2,1,2))*$B$128</f>
        <v>56.2</v>
      </c>
      <c r="H33" s="658">
        <f ca="1">AVERAGE(OFFSET($E80,0,(COLUMN(H80)-COLUMN($E80))*2,1,2))*$B$128</f>
        <v>56.2</v>
      </c>
      <c r="I33" s="658">
        <f ca="1">AVERAGE(OFFSET($E80,0,(COLUMN(I80)-COLUMN($E80))*2,1,2))*$B$128</f>
        <v>57.8</v>
      </c>
      <c r="J33" s="658">
        <f t="shared" ca="1" si="14"/>
        <v>57.8</v>
      </c>
      <c r="K33" s="658">
        <f t="shared" ca="1" si="14"/>
        <v>57.8</v>
      </c>
      <c r="L33" s="658">
        <f t="shared" ca="1" si="14"/>
        <v>58.7</v>
      </c>
      <c r="M33" s="658">
        <f t="shared" ca="1" si="15"/>
        <v>61.25</v>
      </c>
      <c r="N33" s="658">
        <f t="shared" ca="1" si="15"/>
        <v>67.150000000000006</v>
      </c>
      <c r="O33" s="658">
        <f t="shared" ca="1" si="15"/>
        <v>64.8</v>
      </c>
      <c r="P33" s="658">
        <f t="shared" ca="1" si="15"/>
        <v>67.3</v>
      </c>
      <c r="Q33" s="658">
        <f t="shared" ca="1" si="15"/>
        <v>69.8</v>
      </c>
      <c r="R33" s="658">
        <f t="shared" ca="1" si="15"/>
        <v>71.2</v>
      </c>
      <c r="S33" s="658">
        <f t="shared" ca="1" si="15"/>
        <v>72.500000000000014</v>
      </c>
      <c r="T33" s="658">
        <f t="shared" ca="1" si="15"/>
        <v>74.149999999999991</v>
      </c>
      <c r="U33" s="658">
        <f t="shared" ca="1" si="15"/>
        <v>71.2</v>
      </c>
    </row>
    <row r="34" spans="1:21" s="9" customFormat="1" x14ac:dyDescent="0.25">
      <c r="A34" s="654" t="s">
        <v>57</v>
      </c>
      <c r="B34" s="654" t="s">
        <v>5</v>
      </c>
      <c r="C34" s="656" t="s">
        <v>400</v>
      </c>
      <c r="D34" s="657" t="s">
        <v>62</v>
      </c>
      <c r="E34" s="658"/>
      <c r="F34" s="658"/>
      <c r="G34" s="658"/>
      <c r="H34" s="658"/>
      <c r="I34" s="658"/>
      <c r="J34" s="658">
        <f t="shared" ca="1" si="14"/>
        <v>57.8</v>
      </c>
      <c r="K34" s="658">
        <f t="shared" ca="1" si="14"/>
        <v>57.8</v>
      </c>
      <c r="L34" s="658">
        <f t="shared" ca="1" si="14"/>
        <v>58.7</v>
      </c>
      <c r="M34" s="658">
        <f t="shared" ca="1" si="15"/>
        <v>57.2</v>
      </c>
      <c r="N34" s="658">
        <f t="shared" ca="1" si="15"/>
        <v>57.249999999999993</v>
      </c>
      <c r="O34" s="658">
        <f t="shared" ca="1" si="15"/>
        <v>58.35</v>
      </c>
      <c r="P34" s="658">
        <f t="shared" ca="1" si="15"/>
        <v>59.550000000000004</v>
      </c>
      <c r="Q34" s="658">
        <f t="shared" ca="1" si="15"/>
        <v>61.4</v>
      </c>
      <c r="R34" s="658">
        <f t="shared" ca="1" si="15"/>
        <v>60.45</v>
      </c>
      <c r="S34" s="658">
        <f t="shared" ca="1" si="15"/>
        <v>60.3</v>
      </c>
      <c r="T34" s="658">
        <f t="shared" ca="1" si="15"/>
        <v>60.35</v>
      </c>
      <c r="U34" s="658">
        <f t="shared" ca="1" si="15"/>
        <v>56</v>
      </c>
    </row>
    <row r="35" spans="1:21" s="9" customFormat="1" x14ac:dyDescent="0.25">
      <c r="A35" s="654" t="s">
        <v>57</v>
      </c>
      <c r="B35" s="654" t="s">
        <v>5</v>
      </c>
      <c r="C35" s="656" t="s">
        <v>401</v>
      </c>
      <c r="D35" s="657" t="s">
        <v>62</v>
      </c>
      <c r="E35" s="658"/>
      <c r="F35" s="658"/>
      <c r="G35" s="658"/>
      <c r="H35" s="658"/>
      <c r="I35" s="658"/>
      <c r="J35" s="658">
        <f t="shared" ca="1" si="14"/>
        <v>50</v>
      </c>
      <c r="K35" s="658">
        <f t="shared" ca="1" si="14"/>
        <v>50</v>
      </c>
      <c r="L35" s="658">
        <f t="shared" ca="1" si="14"/>
        <v>50.8</v>
      </c>
      <c r="M35" s="658"/>
      <c r="N35" s="658"/>
      <c r="O35" s="658"/>
      <c r="P35" s="658"/>
      <c r="Q35" s="658"/>
      <c r="R35" s="658"/>
      <c r="S35" s="658"/>
      <c r="T35" s="658"/>
      <c r="U35" s="658"/>
    </row>
    <row r="36" spans="1:21" s="9" customFormat="1" x14ac:dyDescent="0.25"/>
    <row r="37" spans="1:21" s="9" customFormat="1" ht="13" x14ac:dyDescent="0.3">
      <c r="A37" s="1" t="s">
        <v>58</v>
      </c>
    </row>
    <row r="38" spans="1:21" ht="13" x14ac:dyDescent="0.3">
      <c r="A38" s="9"/>
      <c r="B38" s="9"/>
      <c r="C38" s="9"/>
      <c r="D38" s="9"/>
      <c r="E38" s="661">
        <v>2000</v>
      </c>
      <c r="F38" s="661">
        <v>2001</v>
      </c>
      <c r="G38" s="661">
        <v>2002</v>
      </c>
      <c r="H38" s="661">
        <v>2003</v>
      </c>
      <c r="I38" s="661">
        <v>2004</v>
      </c>
      <c r="J38" s="661">
        <v>2005</v>
      </c>
      <c r="K38" s="661">
        <v>2006</v>
      </c>
      <c r="L38" s="661">
        <v>2007</v>
      </c>
      <c r="M38" s="661">
        <v>2008</v>
      </c>
      <c r="N38" s="661">
        <v>2009</v>
      </c>
      <c r="O38" s="661">
        <v>2010</v>
      </c>
      <c r="P38" s="661">
        <v>2011</v>
      </c>
      <c r="Q38" s="661">
        <v>2012</v>
      </c>
      <c r="R38" s="661">
        <v>2013</v>
      </c>
      <c r="S38" s="661">
        <v>2014</v>
      </c>
      <c r="T38" s="661">
        <v>2015</v>
      </c>
      <c r="U38" s="661">
        <v>2016</v>
      </c>
    </row>
    <row r="39" spans="1:21" x14ac:dyDescent="0.25">
      <c r="A39" s="654" t="s">
        <v>58</v>
      </c>
      <c r="B39" s="654" t="s">
        <v>5</v>
      </c>
      <c r="C39" s="656" t="s">
        <v>95</v>
      </c>
      <c r="D39" s="657" t="s">
        <v>63</v>
      </c>
      <c r="E39" s="659"/>
      <c r="F39" s="659"/>
      <c r="G39" s="659"/>
      <c r="H39" s="659"/>
      <c r="I39" s="659"/>
      <c r="J39" s="659">
        <f t="shared" ref="J39:L44" ca="1" si="16">AVERAGE(OFFSET($E97,0,(COLUMN(J97)-COLUMN($E$76))*2,1,2))*$B$127</f>
        <v>28.905687544996397</v>
      </c>
      <c r="K39" s="659">
        <f t="shared" ca="1" si="16"/>
        <v>35.637149028077751</v>
      </c>
      <c r="L39" s="659">
        <f t="shared" ca="1" si="16"/>
        <v>36.933045356371487</v>
      </c>
      <c r="M39" s="658">
        <f t="shared" ref="M39:U43" ca="1" si="17">AVERAGE(OFFSET($E105,0,(COLUMN(E105)-COLUMN($E105))*2,1,2))*$B$128</f>
        <v>42.35</v>
      </c>
      <c r="N39" s="658">
        <f t="shared" ca="1" si="17"/>
        <v>43.85</v>
      </c>
      <c r="O39" s="658">
        <f t="shared" ca="1" si="17"/>
        <v>45.1</v>
      </c>
      <c r="P39" s="658">
        <f t="shared" ca="1" si="17"/>
        <v>50.95</v>
      </c>
      <c r="Q39" s="658">
        <f t="shared" ca="1" si="17"/>
        <v>60.15</v>
      </c>
      <c r="R39" s="658">
        <f t="shared" ca="1" si="17"/>
        <v>62.1</v>
      </c>
      <c r="S39" s="658">
        <f t="shared" ca="1" si="17"/>
        <v>58.649999999999991</v>
      </c>
      <c r="T39" s="658">
        <f t="shared" ca="1" si="17"/>
        <v>55.099999999999994</v>
      </c>
      <c r="U39" s="658">
        <f t="shared" ca="1" si="17"/>
        <v>54.5</v>
      </c>
    </row>
    <row r="40" spans="1:21" x14ac:dyDescent="0.25">
      <c r="A40" s="654" t="s">
        <v>58</v>
      </c>
      <c r="B40" s="654" t="s">
        <v>5</v>
      </c>
      <c r="C40" s="656" t="s">
        <v>96</v>
      </c>
      <c r="D40" s="657" t="s">
        <v>63</v>
      </c>
      <c r="E40" s="659"/>
      <c r="F40" s="659"/>
      <c r="G40" s="659"/>
      <c r="H40" s="659"/>
      <c r="I40" s="659"/>
      <c r="J40" s="659">
        <f t="shared" ca="1" si="16"/>
        <v>24.586033117350613</v>
      </c>
      <c r="K40" s="659">
        <f t="shared" ca="1" si="16"/>
        <v>31.353491720662351</v>
      </c>
      <c r="L40" s="659">
        <f t="shared" ca="1" si="16"/>
        <v>32.649388048956084</v>
      </c>
      <c r="M40" s="658">
        <f t="shared" ca="1" si="17"/>
        <v>38.5</v>
      </c>
      <c r="N40" s="658">
        <f t="shared" ca="1" si="17"/>
        <v>37.699999999999996</v>
      </c>
      <c r="O40" s="658">
        <f t="shared" ca="1" si="17"/>
        <v>38.550000000000004</v>
      </c>
      <c r="P40" s="658">
        <f t="shared" ca="1" si="17"/>
        <v>44</v>
      </c>
      <c r="Q40" s="658">
        <f t="shared" ca="1" si="17"/>
        <v>49.35</v>
      </c>
      <c r="R40" s="658">
        <f t="shared" ca="1" si="17"/>
        <v>49.600000000000009</v>
      </c>
      <c r="S40" s="658">
        <f t="shared" ca="1" si="17"/>
        <v>48.1</v>
      </c>
      <c r="T40" s="658">
        <f t="shared" ca="1" si="17"/>
        <v>44.3</v>
      </c>
      <c r="U40" s="658">
        <f t="shared" ca="1" si="17"/>
        <v>44.1</v>
      </c>
    </row>
    <row r="41" spans="1:21" ht="13" x14ac:dyDescent="0.3">
      <c r="A41" s="676" t="s">
        <v>58</v>
      </c>
      <c r="B41" s="676" t="s">
        <v>5</v>
      </c>
      <c r="C41" s="676" t="s">
        <v>97</v>
      </c>
      <c r="D41" s="677" t="s">
        <v>63</v>
      </c>
      <c r="E41" s="678">
        <f ca="1">AVERAGE(OFFSET($E99,0,(COLUMN(E99)-COLUMN($E$76))*2,1,2))*$B$127</f>
        <v>17.26709863210943</v>
      </c>
      <c r="F41" s="678">
        <f ca="1">AVERAGE(OFFSET($E99,0,(COLUMN(F99)-COLUMN($E$76))*2,1,2))*$B$127</f>
        <v>20.993160547156229</v>
      </c>
      <c r="G41" s="678">
        <f ca="1">AVERAGE(OFFSET($E99,0,(COLUMN(G99)-COLUMN($E$76))*2,1,2))*$B$127</f>
        <v>18.754499640028797</v>
      </c>
      <c r="H41" s="678">
        <f ca="1">AVERAGE(OFFSET($E99,0,(COLUMN(H99)-COLUMN($E$76))*2,1,2))*$B$127</f>
        <v>20.014398848092153</v>
      </c>
      <c r="I41" s="678">
        <f ca="1">AVERAGE(OFFSET($E99,0,(COLUMN(I99)-COLUMN($E$76))*2,1,2))*$B$127</f>
        <v>19.834413246940244</v>
      </c>
      <c r="J41" s="678">
        <f t="shared" ca="1" si="16"/>
        <v>23.992080633549318</v>
      </c>
      <c r="K41" s="678">
        <f t="shared" ca="1" si="16"/>
        <v>30.075593952483803</v>
      </c>
      <c r="L41" s="678">
        <f t="shared" ca="1" si="16"/>
        <v>28.185745140388768</v>
      </c>
      <c r="M41" s="679">
        <f t="shared" ca="1" si="17"/>
        <v>36.15</v>
      </c>
      <c r="N41" s="679">
        <f t="shared" ca="1" si="17"/>
        <v>33.85</v>
      </c>
      <c r="O41" s="679">
        <f t="shared" ca="1" si="17"/>
        <v>34</v>
      </c>
      <c r="P41" s="679">
        <f t="shared" ca="1" si="17"/>
        <v>37.150000000000006</v>
      </c>
      <c r="Q41" s="679">
        <f t="shared" ca="1" si="17"/>
        <v>39.599999999999994</v>
      </c>
      <c r="R41" s="679">
        <f t="shared" ca="1" si="17"/>
        <v>39.800000000000004</v>
      </c>
      <c r="S41" s="679">
        <f t="shared" ca="1" si="17"/>
        <v>38.299999999999997</v>
      </c>
      <c r="T41" s="679">
        <f t="shared" ca="1" si="17"/>
        <v>37.25</v>
      </c>
      <c r="U41" s="679">
        <f t="shared" ca="1" si="17"/>
        <v>36.799999999999997</v>
      </c>
    </row>
    <row r="42" spans="1:21" x14ac:dyDescent="0.25">
      <c r="A42" s="654" t="s">
        <v>58</v>
      </c>
      <c r="B42" s="654" t="s">
        <v>5</v>
      </c>
      <c r="C42" s="656" t="s">
        <v>98</v>
      </c>
      <c r="D42" s="657" t="s">
        <v>63</v>
      </c>
      <c r="E42" s="659"/>
      <c r="F42" s="659"/>
      <c r="G42" s="659"/>
      <c r="H42" s="659"/>
      <c r="I42" s="659"/>
      <c r="J42" s="659">
        <f t="shared" ca="1" si="16"/>
        <v>24.442044636429085</v>
      </c>
      <c r="K42" s="659">
        <f t="shared" ca="1" si="16"/>
        <v>29.661627069834413</v>
      </c>
      <c r="L42" s="659">
        <f t="shared" ca="1" si="16"/>
        <v>27.753779697624189</v>
      </c>
      <c r="M42" s="658">
        <f t="shared" ca="1" si="17"/>
        <v>32.35</v>
      </c>
      <c r="N42" s="658">
        <f t="shared" ca="1" si="17"/>
        <v>28.7</v>
      </c>
      <c r="O42" s="658">
        <f t="shared" ca="1" si="17"/>
        <v>27.5</v>
      </c>
      <c r="P42" s="658">
        <f t="shared" ca="1" si="17"/>
        <v>27.900000000000002</v>
      </c>
      <c r="Q42" s="658">
        <f t="shared" ca="1" si="17"/>
        <v>30.55</v>
      </c>
      <c r="R42" s="658">
        <f t="shared" ca="1" si="17"/>
        <v>32.5</v>
      </c>
      <c r="S42" s="658">
        <f t="shared" ca="1" si="17"/>
        <v>31</v>
      </c>
      <c r="T42" s="658">
        <f t="shared" ca="1" si="17"/>
        <v>29.75</v>
      </c>
      <c r="U42" s="658">
        <f t="shared" ca="1" si="17"/>
        <v>29.1</v>
      </c>
    </row>
    <row r="43" spans="1:21" x14ac:dyDescent="0.25">
      <c r="A43" s="654" t="s">
        <v>58</v>
      </c>
      <c r="B43" s="654" t="s">
        <v>5</v>
      </c>
      <c r="C43" s="656" t="s">
        <v>99</v>
      </c>
      <c r="D43" s="657" t="s">
        <v>63</v>
      </c>
      <c r="E43" s="659"/>
      <c r="F43" s="659"/>
      <c r="G43" s="659"/>
      <c r="H43" s="659"/>
      <c r="I43" s="659"/>
      <c r="J43" s="659">
        <f t="shared" ca="1" si="16"/>
        <v>21.670266378689703</v>
      </c>
      <c r="K43" s="659">
        <f t="shared" ca="1" si="16"/>
        <v>26.83585313174946</v>
      </c>
      <c r="L43" s="659">
        <f t="shared" ca="1" si="16"/>
        <v>24.190064794816415</v>
      </c>
      <c r="M43" s="658">
        <f t="shared" ca="1" si="17"/>
        <v>31.549999999999994</v>
      </c>
      <c r="N43" s="658">
        <f t="shared" ca="1" si="17"/>
        <v>25.599999999999998</v>
      </c>
      <c r="O43" s="658">
        <f t="shared" ca="1" si="17"/>
        <v>23.55</v>
      </c>
      <c r="P43" s="658">
        <f t="shared" ca="1" si="17"/>
        <v>28.400000000000002</v>
      </c>
      <c r="Q43" s="658">
        <f t="shared" ca="1" si="17"/>
        <v>31.25</v>
      </c>
      <c r="R43" s="658">
        <f t="shared" ca="1" si="17"/>
        <v>30.15</v>
      </c>
      <c r="S43" s="658">
        <f t="shared" ca="1" si="17"/>
        <v>28</v>
      </c>
      <c r="T43" s="658">
        <f t="shared" ca="1" si="17"/>
        <v>25.099999999999998</v>
      </c>
      <c r="U43" s="658">
        <f t="shared" ca="1" si="17"/>
        <v>24.2</v>
      </c>
    </row>
    <row r="44" spans="1:21" x14ac:dyDescent="0.25">
      <c r="A44" s="654" t="s">
        <v>58</v>
      </c>
      <c r="B44" s="654" t="s">
        <v>5</v>
      </c>
      <c r="C44" s="656" t="s">
        <v>94</v>
      </c>
      <c r="D44" s="657" t="s">
        <v>63</v>
      </c>
      <c r="E44" s="659"/>
      <c r="F44" s="659"/>
      <c r="G44" s="659"/>
      <c r="H44" s="659"/>
      <c r="I44" s="659"/>
      <c r="J44" s="659">
        <f t="shared" ca="1" si="16"/>
        <v>21.166306695464364</v>
      </c>
      <c r="K44" s="659">
        <f t="shared" ca="1" si="16"/>
        <v>26.331893448524117</v>
      </c>
      <c r="L44" s="659">
        <f t="shared" ca="1" si="16"/>
        <v>23.686105111591072</v>
      </c>
      <c r="M44" s="658"/>
      <c r="N44" s="658"/>
      <c r="O44" s="658"/>
      <c r="P44" s="658"/>
      <c r="Q44" s="658"/>
      <c r="R44" s="658"/>
      <c r="S44" s="658"/>
      <c r="T44" s="658"/>
      <c r="U44" s="658"/>
    </row>
    <row r="45" spans="1:21" x14ac:dyDescent="0.25">
      <c r="D45" s="2"/>
      <c r="J45" s="52"/>
      <c r="K45" s="52"/>
      <c r="L45" s="52"/>
      <c r="M45" s="52"/>
      <c r="N45" s="52"/>
      <c r="O45" s="52"/>
      <c r="P45" s="52"/>
      <c r="Q45" s="52"/>
      <c r="R45" s="52"/>
      <c r="S45" s="52"/>
    </row>
    <row r="46" spans="1:21" ht="13" x14ac:dyDescent="0.3">
      <c r="A46" s="1" t="s">
        <v>423</v>
      </c>
      <c r="D46" s="2"/>
      <c r="J46" s="52"/>
      <c r="K46" s="52"/>
      <c r="L46" s="52"/>
      <c r="M46" s="52"/>
      <c r="N46" s="52"/>
      <c r="O46" s="52"/>
      <c r="P46" s="52"/>
      <c r="Q46" s="52"/>
      <c r="R46" s="52"/>
      <c r="S46" s="52"/>
    </row>
    <row r="47" spans="1:21" ht="13" x14ac:dyDescent="0.3">
      <c r="A47" s="9"/>
      <c r="B47" s="9"/>
      <c r="C47" s="9"/>
      <c r="D47" s="9"/>
      <c r="E47" s="661">
        <v>2000</v>
      </c>
      <c r="F47" s="661">
        <v>2001</v>
      </c>
      <c r="G47" s="661">
        <v>2002</v>
      </c>
      <c r="H47" s="661">
        <v>2003</v>
      </c>
      <c r="I47" s="661">
        <v>2004</v>
      </c>
      <c r="J47" s="661">
        <v>2005</v>
      </c>
      <c r="K47" s="661">
        <v>2006</v>
      </c>
      <c r="L47" s="661">
        <v>2007</v>
      </c>
      <c r="M47" s="661">
        <v>2008</v>
      </c>
      <c r="N47" s="661">
        <v>2009</v>
      </c>
      <c r="O47" s="661">
        <v>2010</v>
      </c>
      <c r="P47" s="661">
        <v>2011</v>
      </c>
      <c r="Q47" s="661">
        <v>2012</v>
      </c>
      <c r="R47" s="661">
        <v>2013</v>
      </c>
      <c r="S47" s="661">
        <v>2014</v>
      </c>
      <c r="T47" s="661">
        <v>2015</v>
      </c>
      <c r="U47" s="661">
        <v>2016</v>
      </c>
    </row>
    <row r="48" spans="1:21" x14ac:dyDescent="0.25">
      <c r="A48" s="9">
        <v>1</v>
      </c>
      <c r="B48" s="9">
        <v>2</v>
      </c>
      <c r="C48" s="9">
        <v>3</v>
      </c>
      <c r="D48" s="9">
        <v>4</v>
      </c>
      <c r="E48" s="9">
        <v>5</v>
      </c>
      <c r="F48" s="9">
        <v>6</v>
      </c>
      <c r="G48" s="9">
        <v>7</v>
      </c>
      <c r="H48" s="9">
        <v>8</v>
      </c>
      <c r="I48" s="9">
        <v>9</v>
      </c>
      <c r="J48" s="9">
        <v>10</v>
      </c>
      <c r="K48" s="9">
        <v>11</v>
      </c>
      <c r="L48" s="9">
        <v>12</v>
      </c>
      <c r="M48" s="9">
        <v>13</v>
      </c>
      <c r="N48" s="9">
        <v>14</v>
      </c>
      <c r="O48" s="9">
        <v>15</v>
      </c>
      <c r="P48" s="9">
        <v>16</v>
      </c>
      <c r="Q48" s="9">
        <v>17</v>
      </c>
      <c r="R48" s="9">
        <v>18</v>
      </c>
      <c r="S48" s="9">
        <v>19</v>
      </c>
      <c r="T48" s="9">
        <v>20</v>
      </c>
      <c r="U48" s="9">
        <v>21</v>
      </c>
    </row>
    <row r="49" spans="1:21" x14ac:dyDescent="0.25">
      <c r="A49" s="654" t="s">
        <v>59</v>
      </c>
      <c r="D49" s="657" t="s">
        <v>1</v>
      </c>
      <c r="E49" s="667">
        <f>E20</f>
        <v>28.52</v>
      </c>
      <c r="F49" s="667">
        <f t="shared" ref="F49:U49" si="18">F20</f>
        <v>24.44</v>
      </c>
      <c r="G49" s="667">
        <f t="shared" si="18"/>
        <v>24.95</v>
      </c>
      <c r="H49" s="667">
        <f t="shared" si="18"/>
        <v>28.89</v>
      </c>
      <c r="I49" s="667">
        <f t="shared" si="18"/>
        <v>38.24</v>
      </c>
      <c r="J49" s="667">
        <f t="shared" si="18"/>
        <v>54.41</v>
      </c>
      <c r="K49" s="667">
        <f t="shared" si="18"/>
        <v>65.14</v>
      </c>
      <c r="L49" s="667">
        <f t="shared" si="18"/>
        <v>72.45</v>
      </c>
      <c r="M49" s="667">
        <f t="shared" si="18"/>
        <v>96.99</v>
      </c>
      <c r="N49" s="667">
        <f t="shared" si="18"/>
        <v>61.48</v>
      </c>
      <c r="O49" s="667">
        <f t="shared" si="18"/>
        <v>79.44</v>
      </c>
      <c r="P49" s="667">
        <f t="shared" si="18"/>
        <v>111.22</v>
      </c>
      <c r="Q49" s="667">
        <f t="shared" si="18"/>
        <v>111.66</v>
      </c>
      <c r="R49" s="667">
        <f t="shared" si="18"/>
        <v>108.63</v>
      </c>
      <c r="S49" s="667">
        <f t="shared" si="18"/>
        <v>99.02</v>
      </c>
      <c r="T49" s="667">
        <f t="shared" si="18"/>
        <v>52.35</v>
      </c>
      <c r="U49" s="667">
        <f t="shared" si="18"/>
        <v>40</v>
      </c>
    </row>
    <row r="50" spans="1:21" x14ac:dyDescent="0.25">
      <c r="A50" s="654" t="s">
        <v>57</v>
      </c>
      <c r="D50" s="657" t="s">
        <v>62</v>
      </c>
      <c r="E50" s="667" t="e">
        <f>NA()</f>
        <v>#N/A</v>
      </c>
      <c r="F50" s="667" t="e">
        <f>NA()</f>
        <v>#N/A</v>
      </c>
      <c r="G50" s="667" t="e">
        <f>NA()</f>
        <v>#N/A</v>
      </c>
      <c r="H50" s="667" t="e">
        <f>NA()</f>
        <v>#N/A</v>
      </c>
      <c r="I50" s="667" t="e">
        <f>NA()</f>
        <v>#N/A</v>
      </c>
      <c r="J50" s="667">
        <f t="shared" ref="J50:U50" ca="1" si="19">J32</f>
        <v>67.400000000000006</v>
      </c>
      <c r="K50" s="667">
        <f t="shared" ca="1" si="19"/>
        <v>67.400000000000006</v>
      </c>
      <c r="L50" s="667">
        <f t="shared" ca="1" si="19"/>
        <v>68.5</v>
      </c>
      <c r="M50" s="667">
        <f t="shared" ca="1" si="19"/>
        <v>57.249999999999993</v>
      </c>
      <c r="N50" s="667">
        <f t="shared" ca="1" si="19"/>
        <v>64.900000000000006</v>
      </c>
      <c r="O50" s="667">
        <f t="shared" ca="1" si="19"/>
        <v>66.099999999999994</v>
      </c>
      <c r="P50" s="667">
        <f t="shared" ca="1" si="19"/>
        <v>72.099999999999994</v>
      </c>
      <c r="Q50" s="667">
        <f t="shared" ca="1" si="19"/>
        <v>75.550000000000011</v>
      </c>
      <c r="R50" s="667">
        <f t="shared" ca="1" si="19"/>
        <v>78.800000000000011</v>
      </c>
      <c r="S50" s="667">
        <f t="shared" ca="1" si="19"/>
        <v>80.900000000000006</v>
      </c>
      <c r="T50" s="667">
        <f t="shared" ca="1" si="19"/>
        <v>85.75</v>
      </c>
      <c r="U50" s="667">
        <f t="shared" ca="1" si="19"/>
        <v>83.7</v>
      </c>
    </row>
    <row r="51" spans="1:21" x14ac:dyDescent="0.25">
      <c r="A51" s="654" t="s">
        <v>58</v>
      </c>
      <c r="D51" s="740" t="s">
        <v>214</v>
      </c>
      <c r="E51" s="667">
        <f ca="1">E41/'Scénarios prix énergie'!$G$267</f>
        <v>19.185665146788256</v>
      </c>
      <c r="F51" s="667">
        <f ca="1">F41/'Scénarios prix énergie'!$G$267</f>
        <v>23.3257339412847</v>
      </c>
      <c r="G51" s="667">
        <f ca="1">G41/'Scénarios prix énergie'!$G$267</f>
        <v>20.838332933365329</v>
      </c>
      <c r="H51" s="667">
        <f ca="1">H41/'Scénarios prix énergie'!$G$267</f>
        <v>22.238220942324613</v>
      </c>
      <c r="I51" s="667">
        <f ca="1">I41/'Scénarios prix énergie'!$G$267</f>
        <v>22.038236941044715</v>
      </c>
      <c r="J51" s="667">
        <f ca="1">J41/'Scénarios prix énergie'!$G$267</f>
        <v>26.657867370610351</v>
      </c>
      <c r="K51" s="667">
        <f ca="1">K41/'Scénarios prix énergie'!$G$267</f>
        <v>33.417326613870891</v>
      </c>
      <c r="L51" s="667">
        <f ca="1">L41/'Scénarios prix énergie'!$G$267</f>
        <v>31.317494600431964</v>
      </c>
      <c r="M51" s="667">
        <f ca="1">M41/'Scénarios prix énergie'!$G$267</f>
        <v>40.166666666666664</v>
      </c>
      <c r="N51" s="667">
        <f ca="1">N41/'Scénarios prix énergie'!$G$267</f>
        <v>37.611111111111114</v>
      </c>
      <c r="O51" s="667">
        <f ca="1">O41/'Scénarios prix énergie'!$G$267</f>
        <v>37.777777777777779</v>
      </c>
      <c r="P51" s="667">
        <f ca="1">P41/'Scénarios prix énergie'!$G$267</f>
        <v>41.277777777777786</v>
      </c>
      <c r="Q51" s="667">
        <f ca="1">Q41/'Scénarios prix énergie'!$G$267</f>
        <v>43.999999999999993</v>
      </c>
      <c r="R51" s="667">
        <f ca="1">R41/'Scénarios prix énergie'!$G$267</f>
        <v>44.222222222222229</v>
      </c>
      <c r="S51" s="667">
        <f ca="1">S41/'Scénarios prix énergie'!$G$267</f>
        <v>42.55555555555555</v>
      </c>
      <c r="T51" s="667">
        <f ca="1">T41/'Scénarios prix énergie'!$G$267</f>
        <v>41.388888888888886</v>
      </c>
      <c r="U51" s="667">
        <f ca="1">U41/'Scénarios prix énergie'!$G$267</f>
        <v>40.888888888888886</v>
      </c>
    </row>
    <row r="52" spans="1:21" x14ac:dyDescent="0.25">
      <c r="A52" s="654" t="s">
        <v>15</v>
      </c>
      <c r="D52" s="740" t="s">
        <v>214</v>
      </c>
      <c r="E52" s="667">
        <f>E11</f>
        <v>19.109891098910989</v>
      </c>
      <c r="F52" s="667">
        <f t="shared" ref="F52:U52" si="20">F11</f>
        <v>17.083070830708305</v>
      </c>
      <c r="G52" s="667">
        <f t="shared" si="20"/>
        <v>18.087480874808747</v>
      </c>
      <c r="H52" s="667">
        <f t="shared" si="20"/>
        <v>18.081180811808117</v>
      </c>
      <c r="I52" s="667">
        <f t="shared" si="20"/>
        <v>16.822068220682205</v>
      </c>
      <c r="J52" s="667">
        <f t="shared" si="20"/>
        <v>23.803438034380346</v>
      </c>
      <c r="K52" s="667">
        <f t="shared" si="20"/>
        <v>26.592565925659258</v>
      </c>
      <c r="L52" s="667">
        <f t="shared" si="20"/>
        <v>28.033480334803347</v>
      </c>
      <c r="M52" s="667">
        <f t="shared" si="20"/>
        <v>36.177661776617768</v>
      </c>
      <c r="N52" s="667">
        <f t="shared" si="20"/>
        <v>28.619386193861938</v>
      </c>
      <c r="O52" s="667">
        <f t="shared" si="20"/>
        <v>37.049770497704976</v>
      </c>
      <c r="P52" s="667">
        <f t="shared" si="20"/>
        <v>47.102871028710283</v>
      </c>
      <c r="Q52" s="667">
        <f t="shared" si="20"/>
        <v>54.055440554405543</v>
      </c>
      <c r="R52" s="667">
        <f t="shared" si="20"/>
        <v>49.675096750967512</v>
      </c>
      <c r="S52" s="667">
        <f t="shared" si="20"/>
        <v>46.519665196651964</v>
      </c>
      <c r="T52" s="667">
        <f t="shared" si="20"/>
        <v>33.343608436084352</v>
      </c>
      <c r="U52" s="667">
        <f t="shared" si="20"/>
        <v>27.000270002700024</v>
      </c>
    </row>
    <row r="53" spans="1:21" x14ac:dyDescent="0.25">
      <c r="A53" s="654" t="s">
        <v>128</v>
      </c>
      <c r="D53" s="740" t="s">
        <v>214</v>
      </c>
      <c r="E53" s="667" t="e">
        <f>NA()</f>
        <v>#N/A</v>
      </c>
      <c r="F53" s="667" t="e">
        <f>NA()</f>
        <v>#N/A</v>
      </c>
      <c r="G53" s="667" t="e">
        <f>NA()</f>
        <v>#N/A</v>
      </c>
      <c r="H53" s="667" t="e">
        <f>NA()</f>
        <v>#N/A</v>
      </c>
      <c r="I53" s="667">
        <f t="shared" ref="I53:U53" si="21">I16</f>
        <v>37.583333333333329</v>
      </c>
      <c r="J53" s="667">
        <f t="shared" si="21"/>
        <v>49.083333333333336</v>
      </c>
      <c r="K53" s="667">
        <f t="shared" si="21"/>
        <v>54.25</v>
      </c>
      <c r="L53" s="667">
        <f t="shared" si="21"/>
        <v>54.416666666666664</v>
      </c>
      <c r="M53" s="667">
        <f t="shared" si="21"/>
        <v>69.666666666666671</v>
      </c>
      <c r="N53" s="667">
        <f t="shared" si="21"/>
        <v>48.083333333333329</v>
      </c>
      <c r="O53" s="667">
        <f t="shared" si="21"/>
        <v>59.833333333333336</v>
      </c>
      <c r="P53" s="667">
        <f t="shared" si="21"/>
        <v>74.166666666666671</v>
      </c>
      <c r="Q53" s="667">
        <f t="shared" si="21"/>
        <v>81</v>
      </c>
      <c r="R53" s="667">
        <f t="shared" si="21"/>
        <v>77.5</v>
      </c>
      <c r="S53" s="667">
        <f t="shared" si="21"/>
        <v>71.833333333333329</v>
      </c>
      <c r="T53" s="667">
        <f t="shared" si="21"/>
        <v>59.26819444444444</v>
      </c>
      <c r="U53" s="667">
        <f t="shared" si="21"/>
        <v>47.300000000000004</v>
      </c>
    </row>
    <row r="54" spans="1:21" x14ac:dyDescent="0.25">
      <c r="A54" s="654" t="s">
        <v>18</v>
      </c>
      <c r="D54" s="740" t="s">
        <v>214</v>
      </c>
      <c r="E54" s="667">
        <f>E14</f>
        <v>58.721469776774526</v>
      </c>
      <c r="F54" s="667">
        <f t="shared" ref="F54:U54" si="22">F14</f>
        <v>60.08276899924757</v>
      </c>
      <c r="G54" s="667">
        <f t="shared" si="22"/>
        <v>59.593052420366192</v>
      </c>
      <c r="H54" s="667">
        <f t="shared" si="22"/>
        <v>65.791948833709554</v>
      </c>
      <c r="I54" s="667">
        <f t="shared" si="22"/>
        <v>67.662402809129674</v>
      </c>
      <c r="J54" s="667">
        <f t="shared" si="22"/>
        <v>77.25420115374969</v>
      </c>
      <c r="K54" s="667">
        <f t="shared" si="22"/>
        <v>85.719839478304493</v>
      </c>
      <c r="L54" s="667">
        <f t="shared" si="22"/>
        <v>87.114998745924268</v>
      </c>
      <c r="M54" s="667">
        <f t="shared" si="22"/>
        <v>98.355279658891405</v>
      </c>
      <c r="N54" s="667">
        <f t="shared" si="22"/>
        <v>85.617005267118145</v>
      </c>
      <c r="O54" s="667">
        <f t="shared" si="22"/>
        <v>91.265362427890651</v>
      </c>
      <c r="P54" s="667">
        <f t="shared" si="22"/>
        <v>104.73413594181089</v>
      </c>
      <c r="Q54" s="667">
        <f t="shared" si="22"/>
        <v>112.30812641083523</v>
      </c>
      <c r="R54" s="667">
        <f t="shared" si="22"/>
        <v>114.26511161274141</v>
      </c>
      <c r="S54" s="667">
        <f t="shared" si="22"/>
        <v>106.93585663824096</v>
      </c>
      <c r="T54" s="667">
        <f t="shared" si="22"/>
        <v>99.992441580971501</v>
      </c>
      <c r="U54" s="667">
        <f t="shared" si="22"/>
        <v>95.311626666875682</v>
      </c>
    </row>
    <row r="55" spans="1:21" x14ac:dyDescent="0.25">
      <c r="D55" s="2"/>
      <c r="J55" s="52"/>
      <c r="K55" s="52"/>
      <c r="L55" s="52"/>
      <c r="M55" s="52"/>
      <c r="N55" s="52"/>
      <c r="O55" s="52"/>
      <c r="P55" s="52"/>
      <c r="Q55" s="52"/>
      <c r="R55" s="52"/>
      <c r="S55" s="52"/>
    </row>
    <row r="56" spans="1:21" s="671" customFormat="1" ht="15.5" x14ac:dyDescent="0.35">
      <c r="A56" s="668" t="s">
        <v>23</v>
      </c>
      <c r="B56" s="669"/>
      <c r="C56" s="669"/>
      <c r="D56" s="670"/>
      <c r="E56" s="669"/>
      <c r="F56" s="669"/>
      <c r="G56" s="669"/>
      <c r="H56" s="669"/>
      <c r="I56" s="669"/>
      <c r="J56" s="669"/>
      <c r="K56" s="669"/>
      <c r="L56" s="669"/>
      <c r="M56" s="669"/>
      <c r="N56" s="669"/>
      <c r="O56" s="669"/>
      <c r="P56" s="669"/>
      <c r="Q56" s="669"/>
      <c r="R56" s="669"/>
      <c r="S56" s="669"/>
      <c r="T56" s="669"/>
      <c r="U56" s="669"/>
    </row>
    <row r="58" spans="1:21" ht="13" x14ac:dyDescent="0.3">
      <c r="A58" s="1" t="s">
        <v>53</v>
      </c>
      <c r="B58" s="1"/>
      <c r="C58" s="1"/>
      <c r="D58" s="1"/>
      <c r="S58" s="55"/>
    </row>
    <row r="59" spans="1:21" ht="13" x14ac:dyDescent="0.3">
      <c r="A59" s="652" t="s">
        <v>427</v>
      </c>
      <c r="E59" s="660">
        <v>2000</v>
      </c>
      <c r="F59" s="660">
        <v>2001</v>
      </c>
      <c r="G59" s="660">
        <v>2002</v>
      </c>
      <c r="H59" s="660">
        <v>2003</v>
      </c>
      <c r="I59" s="660">
        <v>2004</v>
      </c>
      <c r="J59" s="660">
        <v>2005</v>
      </c>
      <c r="K59" s="660">
        <v>2006</v>
      </c>
      <c r="L59" s="660">
        <v>2007</v>
      </c>
      <c r="M59" s="660">
        <v>2008</v>
      </c>
      <c r="N59" s="660">
        <v>2009</v>
      </c>
      <c r="O59" s="660">
        <v>2010</v>
      </c>
      <c r="P59" s="660">
        <v>2011</v>
      </c>
      <c r="Q59" s="660">
        <v>2012</v>
      </c>
      <c r="R59" s="660">
        <v>2013</v>
      </c>
      <c r="S59" s="660">
        <v>2014</v>
      </c>
      <c r="T59" s="660">
        <v>2015</v>
      </c>
      <c r="U59" s="660">
        <v>2016</v>
      </c>
    </row>
    <row r="60" spans="1:21" x14ac:dyDescent="0.25">
      <c r="A60" s="654" t="s">
        <v>15</v>
      </c>
      <c r="B60" s="654" t="s">
        <v>11</v>
      </c>
      <c r="C60" s="656" t="s">
        <v>17</v>
      </c>
      <c r="D60" s="655" t="s">
        <v>0</v>
      </c>
      <c r="E60" s="664">
        <v>212.33</v>
      </c>
      <c r="F60" s="664">
        <v>189.81</v>
      </c>
      <c r="G60" s="664">
        <v>200.97</v>
      </c>
      <c r="H60" s="664">
        <v>200.9</v>
      </c>
      <c r="I60" s="664">
        <v>186.91</v>
      </c>
      <c r="J60" s="664">
        <v>264.48</v>
      </c>
      <c r="K60" s="664">
        <v>295.47000000000003</v>
      </c>
      <c r="L60" s="664">
        <v>311.48</v>
      </c>
      <c r="M60" s="664">
        <v>401.97</v>
      </c>
      <c r="N60" s="664">
        <v>317.99</v>
      </c>
      <c r="O60" s="664">
        <v>411.66</v>
      </c>
      <c r="P60" s="664">
        <v>523.36</v>
      </c>
      <c r="Q60" s="664">
        <v>600.61</v>
      </c>
      <c r="R60" s="664">
        <v>551.94000000000005</v>
      </c>
      <c r="S60" s="664">
        <v>516.88</v>
      </c>
      <c r="T60" s="664">
        <v>370.48083333333329</v>
      </c>
      <c r="U60" s="673">
        <v>300</v>
      </c>
    </row>
    <row r="61" spans="1:21" x14ac:dyDescent="0.25">
      <c r="A61" s="654" t="s">
        <v>18</v>
      </c>
      <c r="B61" s="654" t="s">
        <v>11</v>
      </c>
      <c r="C61" s="656" t="s">
        <v>410</v>
      </c>
      <c r="D61" s="655" t="s">
        <v>24</v>
      </c>
      <c r="E61" s="664">
        <v>936.49</v>
      </c>
      <c r="F61" s="664">
        <v>958.2</v>
      </c>
      <c r="G61" s="664">
        <v>950.39</v>
      </c>
      <c r="H61" s="664">
        <v>1049.25</v>
      </c>
      <c r="I61" s="664">
        <v>1079.08</v>
      </c>
      <c r="J61" s="664">
        <v>1232.05</v>
      </c>
      <c r="K61" s="664">
        <v>1367.06</v>
      </c>
      <c r="L61" s="664">
        <v>1389.31</v>
      </c>
      <c r="M61" s="664">
        <v>1568.57</v>
      </c>
      <c r="N61" s="664">
        <v>1365.42</v>
      </c>
      <c r="O61" s="664">
        <v>1455.5</v>
      </c>
      <c r="P61" s="664">
        <v>1670.3</v>
      </c>
      <c r="Q61" s="664">
        <v>1791.09</v>
      </c>
      <c r="R61" s="664">
        <v>1822.3</v>
      </c>
      <c r="S61" s="664">
        <v>1705.4130416666667</v>
      </c>
      <c r="T61" s="664">
        <v>1594.6794583333333</v>
      </c>
      <c r="U61" s="673">
        <f>T61-T21+U21</f>
        <v>1520.0298220833333</v>
      </c>
    </row>
    <row r="62" spans="1:21" x14ac:dyDescent="0.25">
      <c r="A62" s="654" t="s">
        <v>21</v>
      </c>
      <c r="B62" s="654" t="s">
        <v>11</v>
      </c>
      <c r="C62" s="656" t="s">
        <v>172</v>
      </c>
      <c r="D62" s="655" t="s">
        <v>22</v>
      </c>
      <c r="E62" s="665">
        <v>0.85</v>
      </c>
      <c r="F62" s="665">
        <v>0.8</v>
      </c>
      <c r="G62" s="665">
        <v>0.77</v>
      </c>
      <c r="H62" s="665">
        <v>0.79</v>
      </c>
      <c r="I62" s="665">
        <v>0.88</v>
      </c>
      <c r="J62" s="665">
        <v>1.03</v>
      </c>
      <c r="K62" s="665">
        <v>1.08</v>
      </c>
      <c r="L62" s="665">
        <v>1.0900000000000001</v>
      </c>
      <c r="M62" s="665">
        <v>1.27</v>
      </c>
      <c r="N62" s="665">
        <v>1</v>
      </c>
      <c r="O62" s="665">
        <v>1.1499999999999999</v>
      </c>
      <c r="P62" s="665">
        <v>1.34</v>
      </c>
      <c r="Q62" s="665">
        <v>1.4</v>
      </c>
      <c r="R62" s="665">
        <v>1.35</v>
      </c>
      <c r="S62" s="665">
        <v>1.29</v>
      </c>
      <c r="T62" s="665">
        <v>1.1491416666666665</v>
      </c>
      <c r="U62" s="674">
        <v>1.0244</v>
      </c>
    </row>
    <row r="63" spans="1:21" x14ac:dyDescent="0.25">
      <c r="A63" s="654" t="s">
        <v>128</v>
      </c>
      <c r="B63" s="654" t="s">
        <v>11</v>
      </c>
      <c r="C63" s="656" t="s">
        <v>181</v>
      </c>
      <c r="D63" s="655" t="s">
        <v>244</v>
      </c>
      <c r="E63" s="665"/>
      <c r="F63" s="665"/>
      <c r="G63" s="665"/>
      <c r="H63" s="665"/>
      <c r="I63" s="665">
        <v>4.51</v>
      </c>
      <c r="J63" s="665">
        <v>5.89</v>
      </c>
      <c r="K63" s="665">
        <v>6.51</v>
      </c>
      <c r="L63" s="665">
        <v>6.53</v>
      </c>
      <c r="M63" s="665">
        <v>8.36</v>
      </c>
      <c r="N63" s="665">
        <v>5.77</v>
      </c>
      <c r="O63" s="665">
        <v>7.18</v>
      </c>
      <c r="P63" s="665">
        <v>8.9</v>
      </c>
      <c r="Q63" s="665">
        <v>9.7200000000000006</v>
      </c>
      <c r="R63" s="665">
        <v>9.3000000000000007</v>
      </c>
      <c r="S63" s="665">
        <v>8.6199999999999992</v>
      </c>
      <c r="T63" s="665">
        <v>7.1121833333333333</v>
      </c>
      <c r="U63" s="674">
        <v>5.6760000000000002</v>
      </c>
    </row>
    <row r="64" spans="1:21" s="7" customFormat="1" x14ac:dyDescent="0.25">
      <c r="A64" s="2"/>
      <c r="B64" s="2"/>
      <c r="C64" s="2"/>
      <c r="D64" s="3"/>
      <c r="E64" s="6"/>
      <c r="F64" s="6"/>
      <c r="G64" s="6"/>
      <c r="H64" s="6"/>
      <c r="I64" s="6"/>
      <c r="J64" s="6"/>
      <c r="K64" s="6"/>
      <c r="L64" s="6"/>
      <c r="M64" s="6"/>
      <c r="N64" s="6"/>
      <c r="O64" s="6"/>
      <c r="P64" s="6"/>
      <c r="Q64" s="6"/>
      <c r="R64" s="6"/>
      <c r="S64" s="6"/>
    </row>
    <row r="65" spans="1:21" ht="13" x14ac:dyDescent="0.3">
      <c r="A65" s="1" t="s">
        <v>54</v>
      </c>
      <c r="B65" s="1"/>
      <c r="C65" s="1"/>
      <c r="D65" s="1"/>
    </row>
    <row r="66" spans="1:21" ht="13" x14ac:dyDescent="0.3">
      <c r="A66" s="652" t="s">
        <v>427</v>
      </c>
      <c r="E66" s="660">
        <v>2000</v>
      </c>
      <c r="F66" s="660">
        <v>2001</v>
      </c>
      <c r="G66" s="660">
        <v>2002</v>
      </c>
      <c r="H66" s="660">
        <v>2003</v>
      </c>
      <c r="I66" s="660">
        <v>2004</v>
      </c>
      <c r="J66" s="660">
        <v>2005</v>
      </c>
      <c r="K66" s="660">
        <v>2006</v>
      </c>
      <c r="L66" s="660">
        <v>2007</v>
      </c>
      <c r="M66" s="660">
        <v>2008</v>
      </c>
      <c r="N66" s="660">
        <v>2009</v>
      </c>
      <c r="O66" s="660">
        <v>2010</v>
      </c>
      <c r="P66" s="660">
        <v>2011</v>
      </c>
      <c r="Q66" s="660">
        <v>2012</v>
      </c>
      <c r="R66" s="660">
        <v>2013</v>
      </c>
      <c r="S66" s="660">
        <v>2014</v>
      </c>
      <c r="T66" s="660">
        <v>2015</v>
      </c>
      <c r="U66" s="660">
        <v>2016</v>
      </c>
    </row>
    <row r="67" spans="1:21" x14ac:dyDescent="0.25">
      <c r="A67" s="654" t="s">
        <v>59</v>
      </c>
      <c r="B67" s="654" t="s">
        <v>11</v>
      </c>
      <c r="C67" s="656" t="s">
        <v>81</v>
      </c>
      <c r="D67" s="655" t="s">
        <v>1</v>
      </c>
      <c r="E67" s="664">
        <v>28.52</v>
      </c>
      <c r="F67" s="664">
        <v>24.44</v>
      </c>
      <c r="G67" s="664">
        <v>24.95</v>
      </c>
      <c r="H67" s="664">
        <v>28.89</v>
      </c>
      <c r="I67" s="664">
        <v>38.24</v>
      </c>
      <c r="J67" s="664">
        <v>54.41</v>
      </c>
      <c r="K67" s="664">
        <v>65.14</v>
      </c>
      <c r="L67" s="664">
        <v>72.45</v>
      </c>
      <c r="M67" s="664">
        <v>96.99</v>
      </c>
      <c r="N67" s="664">
        <v>61.48</v>
      </c>
      <c r="O67" s="664">
        <v>79.44</v>
      </c>
      <c r="P67" s="664">
        <v>111.22</v>
      </c>
      <c r="Q67" s="664">
        <v>111.66</v>
      </c>
      <c r="R67" s="664">
        <v>108.63</v>
      </c>
      <c r="S67" s="664">
        <v>99.02</v>
      </c>
      <c r="T67" s="664">
        <v>52.35</v>
      </c>
      <c r="U67" s="674">
        <v>40</v>
      </c>
    </row>
    <row r="68" spans="1:21" x14ac:dyDescent="0.25">
      <c r="A68" s="654" t="s">
        <v>174</v>
      </c>
      <c r="B68" s="654" t="s">
        <v>11</v>
      </c>
      <c r="C68" s="656" t="s">
        <v>55</v>
      </c>
      <c r="D68" s="655" t="s">
        <v>71</v>
      </c>
      <c r="E68" s="665">
        <v>2.86</v>
      </c>
      <c r="F68" s="665">
        <v>3.18</v>
      </c>
      <c r="G68" s="665">
        <v>2.54</v>
      </c>
      <c r="H68" s="665">
        <v>3.4</v>
      </c>
      <c r="I68" s="665">
        <v>4.7699999999999996</v>
      </c>
      <c r="J68" s="665">
        <v>7.45</v>
      </c>
      <c r="K68" s="665">
        <v>8.39</v>
      </c>
      <c r="L68" s="665">
        <v>6.12</v>
      </c>
      <c r="M68" s="665">
        <v>11.39</v>
      </c>
      <c r="N68" s="665">
        <v>4.95</v>
      </c>
      <c r="O68" s="665">
        <v>6.7</v>
      </c>
      <c r="P68" s="665">
        <v>9.81</v>
      </c>
      <c r="Q68" s="665">
        <v>9.81</v>
      </c>
      <c r="R68" s="665">
        <v>10.652499999999998</v>
      </c>
      <c r="S68" s="665">
        <v>8.5</v>
      </c>
      <c r="T68" s="665">
        <v>7.4</v>
      </c>
      <c r="U68" s="674">
        <v>7</v>
      </c>
    </row>
    <row r="69" spans="1:21" x14ac:dyDescent="0.25">
      <c r="A69" s="654" t="s">
        <v>170</v>
      </c>
      <c r="B69" s="654" t="s">
        <v>11</v>
      </c>
      <c r="C69" s="656"/>
      <c r="D69" s="655" t="s">
        <v>83</v>
      </c>
      <c r="E69" s="665">
        <v>1.0900000000000001</v>
      </c>
      <c r="F69" s="665">
        <v>1.1200000000000001</v>
      </c>
      <c r="G69" s="665">
        <v>1.06</v>
      </c>
      <c r="H69" s="665">
        <v>0.89</v>
      </c>
      <c r="I69" s="665">
        <v>0.8</v>
      </c>
      <c r="J69" s="665">
        <v>0.8</v>
      </c>
      <c r="K69" s="665">
        <v>0.8</v>
      </c>
      <c r="L69" s="665">
        <v>0.73</v>
      </c>
      <c r="M69" s="665">
        <v>0.68</v>
      </c>
      <c r="N69" s="665">
        <v>0.72</v>
      </c>
      <c r="O69" s="665">
        <v>0.76</v>
      </c>
      <c r="P69" s="665">
        <v>0.72</v>
      </c>
      <c r="Q69" s="665">
        <v>0.78</v>
      </c>
      <c r="R69" s="665">
        <v>0.75250000000000006</v>
      </c>
      <c r="S69" s="665">
        <v>0.73777777777777775</v>
      </c>
      <c r="T69" s="665">
        <v>0.89749999999999996</v>
      </c>
      <c r="U69" s="674">
        <v>0.92</v>
      </c>
    </row>
    <row r="70" spans="1:21" x14ac:dyDescent="0.25">
      <c r="E70" s="5"/>
      <c r="F70" s="5"/>
      <c r="G70" s="5"/>
      <c r="H70" s="5"/>
      <c r="I70" s="5"/>
      <c r="J70" s="5"/>
      <c r="K70" s="5"/>
      <c r="L70" s="5"/>
      <c r="M70" s="5"/>
      <c r="N70" s="5"/>
      <c r="O70" s="5"/>
      <c r="P70" s="5"/>
      <c r="Q70" s="5"/>
    </row>
    <row r="71" spans="1:21" ht="13" x14ac:dyDescent="0.3">
      <c r="A71" s="1" t="s">
        <v>57</v>
      </c>
      <c r="E71" s="5"/>
      <c r="F71" s="5"/>
      <c r="G71" s="5"/>
      <c r="H71" s="5"/>
      <c r="I71" s="5"/>
      <c r="J71" s="5"/>
      <c r="K71" s="5"/>
      <c r="L71" s="5"/>
      <c r="M71" s="5"/>
      <c r="N71" s="5"/>
      <c r="O71" s="5"/>
      <c r="P71" s="5"/>
      <c r="Q71" s="5"/>
    </row>
    <row r="72" spans="1:21" x14ac:dyDescent="0.25">
      <c r="A72" s="653" t="s">
        <v>392</v>
      </c>
      <c r="E72" s="5"/>
      <c r="F72" s="5"/>
      <c r="G72" s="5"/>
      <c r="H72" s="5"/>
      <c r="I72" s="5"/>
      <c r="J72" s="5"/>
      <c r="K72" s="5"/>
      <c r="L72" s="5"/>
      <c r="M72" s="5"/>
      <c r="N72" s="5"/>
      <c r="O72" s="5"/>
      <c r="P72" s="5"/>
      <c r="Q72" s="5"/>
    </row>
    <row r="73" spans="1:21" x14ac:dyDescent="0.25">
      <c r="A73" s="653" t="s">
        <v>393</v>
      </c>
      <c r="E73" s="5"/>
      <c r="F73" s="5"/>
      <c r="G73" s="5"/>
      <c r="H73" s="5"/>
      <c r="I73" s="5"/>
      <c r="J73" s="5"/>
      <c r="K73" s="5"/>
      <c r="L73" s="5"/>
      <c r="M73" s="5"/>
      <c r="N73" s="5"/>
      <c r="O73" s="5"/>
      <c r="P73" s="5"/>
      <c r="Q73" s="5"/>
    </row>
    <row r="74" spans="1:21" x14ac:dyDescent="0.25">
      <c r="A74" s="653" t="s">
        <v>394</v>
      </c>
      <c r="E74" s="5"/>
      <c r="F74" s="5"/>
      <c r="G74" s="5"/>
      <c r="H74" s="5"/>
      <c r="I74" s="5"/>
      <c r="J74" s="5"/>
      <c r="K74" s="5"/>
      <c r="L74" s="5"/>
      <c r="M74" s="5"/>
      <c r="N74" s="5"/>
      <c r="O74" s="5"/>
      <c r="P74" s="5"/>
      <c r="Q74" s="5"/>
    </row>
    <row r="75" spans="1:21" ht="13" x14ac:dyDescent="0.3">
      <c r="E75" s="660" t="s">
        <v>25</v>
      </c>
      <c r="F75" s="660" t="s">
        <v>26</v>
      </c>
      <c r="G75" s="660" t="s">
        <v>27</v>
      </c>
      <c r="H75" s="660" t="s">
        <v>28</v>
      </c>
      <c r="I75" s="660" t="s">
        <v>29</v>
      </c>
      <c r="J75" s="660" t="s">
        <v>30</v>
      </c>
      <c r="K75" s="660" t="s">
        <v>31</v>
      </c>
      <c r="L75" s="660" t="s">
        <v>32</v>
      </c>
      <c r="M75" s="660" t="s">
        <v>33</v>
      </c>
      <c r="N75" s="660" t="s">
        <v>34</v>
      </c>
      <c r="O75" s="660" t="s">
        <v>35</v>
      </c>
      <c r="P75" s="660" t="s">
        <v>36</v>
      </c>
      <c r="Q75" s="660" t="s">
        <v>37</v>
      </c>
      <c r="R75" s="660" t="s">
        <v>38</v>
      </c>
      <c r="S75" s="660" t="s">
        <v>39</v>
      </c>
    </row>
    <row r="76" spans="1:21" x14ac:dyDescent="0.25">
      <c r="A76" s="654" t="s">
        <v>57</v>
      </c>
      <c r="B76" s="654" t="s">
        <v>5</v>
      </c>
      <c r="C76" s="656" t="s">
        <v>395</v>
      </c>
      <c r="D76" s="655" t="s">
        <v>7</v>
      </c>
      <c r="E76" s="663"/>
      <c r="F76" s="662"/>
      <c r="G76" s="662"/>
      <c r="H76" s="662"/>
      <c r="I76" s="662"/>
      <c r="J76" s="662"/>
      <c r="K76" s="662"/>
      <c r="L76" s="662"/>
      <c r="M76" s="662"/>
      <c r="N76" s="662"/>
      <c r="O76" s="662"/>
      <c r="P76" s="662">
        <v>9.5899999999999999E-2</v>
      </c>
      <c r="Q76" s="662">
        <v>9.5899999999999999E-2</v>
      </c>
      <c r="R76" s="662">
        <v>9.5899999999999999E-2</v>
      </c>
      <c r="S76" s="662">
        <v>9.74E-2</v>
      </c>
    </row>
    <row r="77" spans="1:21" x14ac:dyDescent="0.25">
      <c r="A77" s="654" t="s">
        <v>57</v>
      </c>
      <c r="B77" s="654" t="s">
        <v>5</v>
      </c>
      <c r="C77" s="656" t="s">
        <v>396</v>
      </c>
      <c r="D77" s="655" t="s">
        <v>7</v>
      </c>
      <c r="E77" s="663"/>
      <c r="F77" s="662"/>
      <c r="G77" s="662"/>
      <c r="H77" s="662"/>
      <c r="I77" s="662"/>
      <c r="J77" s="662"/>
      <c r="K77" s="662"/>
      <c r="L77" s="662"/>
      <c r="M77" s="662"/>
      <c r="N77" s="662"/>
      <c r="O77" s="662"/>
      <c r="P77" s="662">
        <v>9.06E-2</v>
      </c>
      <c r="Q77" s="662">
        <v>9.1300000000000006E-2</v>
      </c>
      <c r="R77" s="662">
        <v>9.1300000000000006E-2</v>
      </c>
      <c r="S77" s="662">
        <v>9.2799999999999994E-2</v>
      </c>
    </row>
    <row r="78" spans="1:21" x14ac:dyDescent="0.25">
      <c r="A78" s="654" t="s">
        <v>57</v>
      </c>
      <c r="B78" s="654" t="s">
        <v>5</v>
      </c>
      <c r="C78" s="656" t="s">
        <v>397</v>
      </c>
      <c r="D78" s="655" t="s">
        <v>7</v>
      </c>
      <c r="E78" s="663"/>
      <c r="F78" s="662"/>
      <c r="G78" s="662"/>
      <c r="H78" s="662"/>
      <c r="I78" s="662"/>
      <c r="J78" s="662"/>
      <c r="K78" s="662"/>
      <c r="L78" s="662"/>
      <c r="M78" s="662"/>
      <c r="N78" s="662"/>
      <c r="O78" s="662"/>
      <c r="P78" s="662">
        <v>8.3299999999999999E-2</v>
      </c>
      <c r="Q78" s="662">
        <v>8.4000000000000005E-2</v>
      </c>
      <c r="R78" s="662">
        <v>8.4000000000000005E-2</v>
      </c>
      <c r="S78" s="662">
        <v>8.5300000000000001E-2</v>
      </c>
    </row>
    <row r="79" spans="1:21" x14ac:dyDescent="0.25">
      <c r="A79" s="654" t="s">
        <v>57</v>
      </c>
      <c r="B79" s="654" t="s">
        <v>5</v>
      </c>
      <c r="C79" s="656" t="s">
        <v>398</v>
      </c>
      <c r="D79" s="655" t="s">
        <v>7</v>
      </c>
      <c r="E79" s="663"/>
      <c r="F79" s="662"/>
      <c r="G79" s="662"/>
      <c r="H79" s="662"/>
      <c r="I79" s="662"/>
      <c r="J79" s="662"/>
      <c r="K79" s="662"/>
      <c r="L79" s="662"/>
      <c r="M79" s="662"/>
      <c r="N79" s="662"/>
      <c r="O79" s="662"/>
      <c r="P79" s="662">
        <v>6.7400000000000002E-2</v>
      </c>
      <c r="Q79" s="662">
        <v>6.7400000000000002E-2</v>
      </c>
      <c r="R79" s="662">
        <v>6.7400000000000002E-2</v>
      </c>
      <c r="S79" s="662">
        <v>6.8500000000000005E-2</v>
      </c>
    </row>
    <row r="80" spans="1:21" x14ac:dyDescent="0.25">
      <c r="A80" s="654" t="s">
        <v>57</v>
      </c>
      <c r="B80" s="654" t="s">
        <v>5</v>
      </c>
      <c r="C80" s="656" t="s">
        <v>399</v>
      </c>
      <c r="D80" s="655" t="s">
        <v>7</v>
      </c>
      <c r="E80" s="663">
        <v>5.67E-2</v>
      </c>
      <c r="F80" s="662">
        <v>5.4699999999999999E-2</v>
      </c>
      <c r="G80" s="662">
        <v>5.57E-2</v>
      </c>
      <c r="H80" s="662">
        <v>5.5300000000000002E-2</v>
      </c>
      <c r="I80" s="662">
        <v>5.62E-2</v>
      </c>
      <c r="J80" s="662">
        <v>5.62E-2</v>
      </c>
      <c r="K80" s="662">
        <v>5.62E-2</v>
      </c>
      <c r="L80" s="662">
        <v>5.62E-2</v>
      </c>
      <c r="M80" s="662">
        <v>5.7799999999999997E-2</v>
      </c>
      <c r="N80" s="662">
        <v>5.7799999999999997E-2</v>
      </c>
      <c r="O80" s="662">
        <v>5.7799999999999997E-2</v>
      </c>
      <c r="P80" s="662">
        <v>5.7799999999999997E-2</v>
      </c>
      <c r="Q80" s="662">
        <v>5.7799999999999997E-2</v>
      </c>
      <c r="R80" s="662">
        <v>5.7799999999999997E-2</v>
      </c>
      <c r="S80" s="662">
        <v>5.8700000000000002E-2</v>
      </c>
    </row>
    <row r="81" spans="1:21" x14ac:dyDescent="0.25">
      <c r="A81" s="654" t="s">
        <v>57</v>
      </c>
      <c r="B81" s="654" t="s">
        <v>5</v>
      </c>
      <c r="C81" s="656" t="s">
        <v>400</v>
      </c>
      <c r="D81" s="655" t="s">
        <v>7</v>
      </c>
      <c r="E81" s="663"/>
      <c r="F81" s="662"/>
      <c r="G81" s="662"/>
      <c r="H81" s="662"/>
      <c r="I81" s="662"/>
      <c r="J81" s="662"/>
      <c r="K81" s="662"/>
      <c r="L81" s="662"/>
      <c r="M81" s="662"/>
      <c r="N81" s="662"/>
      <c r="O81" s="662"/>
      <c r="P81" s="662">
        <v>5.7799999999999997E-2</v>
      </c>
      <c r="Q81" s="662">
        <v>5.7799999999999997E-2</v>
      </c>
      <c r="R81" s="662">
        <v>5.7799999999999997E-2</v>
      </c>
      <c r="S81" s="662">
        <v>5.8700000000000002E-2</v>
      </c>
    </row>
    <row r="82" spans="1:21" x14ac:dyDescent="0.25">
      <c r="A82" s="654" t="s">
        <v>57</v>
      </c>
      <c r="B82" s="654" t="s">
        <v>5</v>
      </c>
      <c r="C82" s="656" t="s">
        <v>401</v>
      </c>
      <c r="D82" s="655" t="s">
        <v>7</v>
      </c>
      <c r="E82" s="663"/>
      <c r="F82" s="662"/>
      <c r="G82" s="662"/>
      <c r="H82" s="662"/>
      <c r="I82" s="662"/>
      <c r="J82" s="662"/>
      <c r="K82" s="662"/>
      <c r="L82" s="662"/>
      <c r="M82" s="662"/>
      <c r="N82" s="662"/>
      <c r="O82" s="662"/>
      <c r="P82" s="662">
        <v>0.05</v>
      </c>
      <c r="Q82" s="662">
        <v>0.05</v>
      </c>
      <c r="R82" s="662">
        <v>0.05</v>
      </c>
      <c r="S82" s="662">
        <v>5.0799999999999998E-2</v>
      </c>
    </row>
    <row r="84" spans="1:21" ht="13" x14ac:dyDescent="0.3">
      <c r="E84" s="660" t="s">
        <v>40</v>
      </c>
      <c r="F84" s="660" t="s">
        <v>41</v>
      </c>
      <c r="G84" s="660" t="s">
        <v>42</v>
      </c>
      <c r="H84" s="660" t="s">
        <v>43</v>
      </c>
      <c r="I84" s="660" t="s">
        <v>44</v>
      </c>
      <c r="J84" s="660" t="s">
        <v>45</v>
      </c>
      <c r="K84" s="660" t="s">
        <v>46</v>
      </c>
      <c r="L84" s="660" t="s">
        <v>47</v>
      </c>
      <c r="M84" s="660" t="s">
        <v>48</v>
      </c>
      <c r="N84" s="660" t="s">
        <v>49</v>
      </c>
      <c r="O84" s="660" t="s">
        <v>50</v>
      </c>
      <c r="P84" s="660" t="s">
        <v>51</v>
      </c>
      <c r="Q84" s="660" t="s">
        <v>52</v>
      </c>
      <c r="R84" s="660" t="s">
        <v>389</v>
      </c>
      <c r="S84" s="660" t="s">
        <v>390</v>
      </c>
      <c r="T84" s="660" t="s">
        <v>391</v>
      </c>
      <c r="U84" s="660" t="s">
        <v>412</v>
      </c>
    </row>
    <row r="85" spans="1:21" x14ac:dyDescent="0.25">
      <c r="A85" s="654" t="s">
        <v>57</v>
      </c>
      <c r="B85" s="654" t="s">
        <v>5</v>
      </c>
      <c r="C85" s="656" t="s">
        <v>402</v>
      </c>
      <c r="D85" s="655" t="s">
        <v>7</v>
      </c>
      <c r="E85" s="662">
        <v>0.1052</v>
      </c>
      <c r="F85" s="662">
        <v>0.1138</v>
      </c>
      <c r="G85" s="662">
        <v>0.11210000000000001</v>
      </c>
      <c r="H85" s="662">
        <v>0.1135</v>
      </c>
      <c r="I85" s="662">
        <v>0.1147</v>
      </c>
      <c r="J85" s="662">
        <v>0.12609999999999999</v>
      </c>
      <c r="K85" s="662">
        <v>0.124</v>
      </c>
      <c r="L85" s="662">
        <v>0.13170000000000001</v>
      </c>
      <c r="M85" s="662">
        <v>0.1169</v>
      </c>
      <c r="N85" s="662">
        <v>0.14419999999999999</v>
      </c>
      <c r="O85" s="662">
        <v>0.1288</v>
      </c>
      <c r="P85" s="662">
        <v>0.14180000000000001</v>
      </c>
      <c r="Q85" s="662">
        <v>0.1404</v>
      </c>
      <c r="R85" s="662">
        <v>0.14580000000000001</v>
      </c>
      <c r="S85" s="662">
        <v>0.1416</v>
      </c>
      <c r="T85" s="662">
        <v>0.15340000000000001</v>
      </c>
      <c r="U85" s="675">
        <f>T85</f>
        <v>0.15340000000000001</v>
      </c>
    </row>
    <row r="86" spans="1:21" x14ac:dyDescent="0.25">
      <c r="A86" s="654" t="s">
        <v>57</v>
      </c>
      <c r="B86" s="654" t="s">
        <v>5</v>
      </c>
      <c r="C86" s="656" t="s">
        <v>403</v>
      </c>
      <c r="D86" s="655" t="s">
        <v>7</v>
      </c>
      <c r="E86" s="662">
        <v>8.5800000000000001E-2</v>
      </c>
      <c r="F86" s="662">
        <v>7.9600000000000004E-2</v>
      </c>
      <c r="G86" s="662">
        <v>9.2100000000000001E-2</v>
      </c>
      <c r="H86" s="662">
        <v>8.4400000000000003E-2</v>
      </c>
      <c r="I86" s="662">
        <v>9.4E-2</v>
      </c>
      <c r="J86" s="662">
        <v>8.8999999999999996E-2</v>
      </c>
      <c r="K86" s="662">
        <v>0.1013</v>
      </c>
      <c r="L86" s="662">
        <v>9.8599999999999993E-2</v>
      </c>
      <c r="M86" s="662">
        <v>0.1008</v>
      </c>
      <c r="N86" s="662">
        <v>0.1021</v>
      </c>
      <c r="O86" s="662">
        <v>0.10970000000000001</v>
      </c>
      <c r="P86" s="662">
        <v>0.1114</v>
      </c>
      <c r="Q86" s="662">
        <v>0.11700000000000001</v>
      </c>
      <c r="R86" s="662">
        <v>0.11269999999999999</v>
      </c>
      <c r="S86" s="662">
        <v>0.12039999999999999</v>
      </c>
      <c r="T86" s="662">
        <v>0.1197</v>
      </c>
      <c r="U86" s="675">
        <f t="shared" ref="U86:U90" si="23">T86</f>
        <v>0.1197</v>
      </c>
    </row>
    <row r="87" spans="1:21" x14ac:dyDescent="0.25">
      <c r="A87" s="654" t="s">
        <v>57</v>
      </c>
      <c r="B87" s="654" t="s">
        <v>5</v>
      </c>
      <c r="C87" s="656" t="s">
        <v>404</v>
      </c>
      <c r="D87" s="655" t="s">
        <v>7</v>
      </c>
      <c r="E87" s="662">
        <v>6.5100000000000005E-2</v>
      </c>
      <c r="F87" s="662">
        <v>6.1699999999999998E-2</v>
      </c>
      <c r="G87" s="662">
        <v>7.2499999999999995E-2</v>
      </c>
      <c r="H87" s="662">
        <v>6.4799999999999996E-2</v>
      </c>
      <c r="I87" s="662">
        <v>7.7799999999999994E-2</v>
      </c>
      <c r="J87" s="662">
        <v>7.1599999999999997E-2</v>
      </c>
      <c r="K87" s="662">
        <v>8.4900000000000003E-2</v>
      </c>
      <c r="L87" s="662">
        <v>8.0799999999999997E-2</v>
      </c>
      <c r="M87" s="662">
        <v>9.4899999999999998E-2</v>
      </c>
      <c r="N87" s="662">
        <v>7.9500000000000001E-2</v>
      </c>
      <c r="O87" s="662">
        <v>9.6799999999999997E-2</v>
      </c>
      <c r="P87" s="662">
        <v>8.5300000000000001E-2</v>
      </c>
      <c r="Q87" s="662">
        <v>9.64E-2</v>
      </c>
      <c r="R87" s="662">
        <v>9.0800000000000006E-2</v>
      </c>
      <c r="S87" s="662">
        <v>0.1007</v>
      </c>
      <c r="T87" s="662">
        <v>9.4700000000000006E-2</v>
      </c>
      <c r="U87" s="675">
        <f t="shared" si="23"/>
        <v>9.4700000000000006E-2</v>
      </c>
    </row>
    <row r="88" spans="1:21" x14ac:dyDescent="0.25">
      <c r="A88" s="654" t="s">
        <v>57</v>
      </c>
      <c r="B88" s="654" t="s">
        <v>5</v>
      </c>
      <c r="C88" s="656" t="s">
        <v>405</v>
      </c>
      <c r="D88" s="655" t="s">
        <v>7</v>
      </c>
      <c r="E88" s="662">
        <v>5.8400000000000001E-2</v>
      </c>
      <c r="F88" s="662">
        <v>5.6099999999999997E-2</v>
      </c>
      <c r="G88" s="662">
        <v>6.8599999999999994E-2</v>
      </c>
      <c r="H88" s="662">
        <v>6.1199999999999997E-2</v>
      </c>
      <c r="I88" s="662">
        <v>6.9599999999999995E-2</v>
      </c>
      <c r="J88" s="662">
        <v>6.2600000000000003E-2</v>
      </c>
      <c r="K88" s="662">
        <v>7.4200000000000002E-2</v>
      </c>
      <c r="L88" s="662">
        <v>7.0000000000000007E-2</v>
      </c>
      <c r="M88" s="662">
        <v>8.1100000000000005E-2</v>
      </c>
      <c r="N88" s="662">
        <v>7.0000000000000007E-2</v>
      </c>
      <c r="O88" s="662">
        <v>8.3400000000000002E-2</v>
      </c>
      <c r="P88" s="662">
        <v>7.4200000000000002E-2</v>
      </c>
      <c r="Q88" s="662">
        <v>8.3000000000000004E-2</v>
      </c>
      <c r="R88" s="662">
        <v>7.8799999999999995E-2</v>
      </c>
      <c r="S88" s="662">
        <v>8.7800000000000003E-2</v>
      </c>
      <c r="T88" s="662">
        <v>8.3699999999999997E-2</v>
      </c>
      <c r="U88" s="675">
        <f t="shared" si="23"/>
        <v>8.3699999999999997E-2</v>
      </c>
    </row>
    <row r="89" spans="1:21" x14ac:dyDescent="0.25">
      <c r="A89" s="654" t="s">
        <v>57</v>
      </c>
      <c r="B89" s="654" t="s">
        <v>5</v>
      </c>
      <c r="C89" s="656" t="s">
        <v>406</v>
      </c>
      <c r="D89" s="655" t="s">
        <v>7</v>
      </c>
      <c r="E89" s="662">
        <v>6.3299999999999995E-2</v>
      </c>
      <c r="F89" s="662">
        <v>5.9200000000000003E-2</v>
      </c>
      <c r="G89" s="662">
        <v>7.1300000000000002E-2</v>
      </c>
      <c r="H89" s="662">
        <v>6.3E-2</v>
      </c>
      <c r="I89" s="662">
        <v>6.9099999999999995E-2</v>
      </c>
      <c r="J89" s="662">
        <v>6.0499999999999998E-2</v>
      </c>
      <c r="K89" s="662">
        <v>7.1499999999999994E-2</v>
      </c>
      <c r="L89" s="662">
        <v>6.3100000000000003E-2</v>
      </c>
      <c r="M89" s="662">
        <v>7.2499999999999995E-2</v>
      </c>
      <c r="N89" s="662">
        <v>6.7100000000000007E-2</v>
      </c>
      <c r="O89" s="662">
        <v>7.3499999999999996E-2</v>
      </c>
      <c r="P89" s="662">
        <v>6.8900000000000003E-2</v>
      </c>
      <c r="Q89" s="662">
        <v>7.4700000000000003E-2</v>
      </c>
      <c r="R89" s="662">
        <v>7.0300000000000001E-2</v>
      </c>
      <c r="S89" s="662">
        <v>7.7100000000000002E-2</v>
      </c>
      <c r="T89" s="662">
        <v>7.1199999999999999E-2</v>
      </c>
      <c r="U89" s="675">
        <f t="shared" si="23"/>
        <v>7.1199999999999999E-2</v>
      </c>
    </row>
    <row r="90" spans="1:21" x14ac:dyDescent="0.25">
      <c r="A90" s="654" t="s">
        <v>57</v>
      </c>
      <c r="B90" s="654" t="s">
        <v>5</v>
      </c>
      <c r="C90" s="656" t="s">
        <v>407</v>
      </c>
      <c r="D90" s="655" t="s">
        <v>7</v>
      </c>
      <c r="E90" s="662">
        <v>6.0400000000000002E-2</v>
      </c>
      <c r="F90" s="662">
        <v>5.3999999999999999E-2</v>
      </c>
      <c r="G90" s="662">
        <v>6.08E-2</v>
      </c>
      <c r="H90" s="662">
        <v>5.3699999999999998E-2</v>
      </c>
      <c r="I90" s="662">
        <v>6.2100000000000002E-2</v>
      </c>
      <c r="J90" s="662">
        <v>5.4600000000000003E-2</v>
      </c>
      <c r="K90" s="662">
        <v>6.3100000000000003E-2</v>
      </c>
      <c r="L90" s="662">
        <v>5.6000000000000001E-2</v>
      </c>
      <c r="M90" s="662">
        <v>6.59E-2</v>
      </c>
      <c r="N90" s="662">
        <v>5.6899999999999999E-2</v>
      </c>
      <c r="O90" s="662">
        <v>6.6000000000000003E-2</v>
      </c>
      <c r="P90" s="662">
        <v>5.4899999999999997E-2</v>
      </c>
      <c r="Q90" s="662">
        <v>6.6299999999999998E-2</v>
      </c>
      <c r="R90" s="662">
        <v>5.4300000000000001E-2</v>
      </c>
      <c r="S90" s="662">
        <v>6.4699999999999994E-2</v>
      </c>
      <c r="T90" s="662">
        <v>5.6000000000000001E-2</v>
      </c>
      <c r="U90" s="675">
        <f t="shared" si="23"/>
        <v>5.6000000000000001E-2</v>
      </c>
    </row>
    <row r="91" spans="1:21" x14ac:dyDescent="0.25">
      <c r="A91" s="9"/>
      <c r="B91" s="9"/>
      <c r="C91" s="9"/>
      <c r="D91" s="9"/>
      <c r="E91" s="9"/>
      <c r="F91" s="9"/>
      <c r="G91" s="9"/>
      <c r="H91" s="9"/>
      <c r="I91" s="9"/>
      <c r="J91" s="9"/>
      <c r="K91" s="9"/>
      <c r="L91" s="9"/>
      <c r="M91" s="9"/>
      <c r="N91" s="9"/>
      <c r="O91" s="9"/>
      <c r="P91" s="9"/>
      <c r="Q91" s="9"/>
    </row>
    <row r="92" spans="1:21" ht="13" x14ac:dyDescent="0.3">
      <c r="A92" s="1" t="s">
        <v>58</v>
      </c>
    </row>
    <row r="93" spans="1:21" x14ac:dyDescent="0.25">
      <c r="A93" s="653" t="s">
        <v>408</v>
      </c>
    </row>
    <row r="94" spans="1:21" x14ac:dyDescent="0.25">
      <c r="A94" s="653" t="s">
        <v>409</v>
      </c>
    </row>
    <row r="95" spans="1:21" x14ac:dyDescent="0.25">
      <c r="A95" s="653" t="s">
        <v>394</v>
      </c>
    </row>
    <row r="96" spans="1:21" ht="13" x14ac:dyDescent="0.3">
      <c r="E96" s="660" t="s">
        <v>25</v>
      </c>
      <c r="F96" s="660" t="s">
        <v>26</v>
      </c>
      <c r="G96" s="660" t="s">
        <v>27</v>
      </c>
      <c r="H96" s="660" t="s">
        <v>28</v>
      </c>
      <c r="I96" s="660" t="s">
        <v>29</v>
      </c>
      <c r="J96" s="660" t="s">
        <v>30</v>
      </c>
      <c r="K96" s="660" t="s">
        <v>31</v>
      </c>
      <c r="L96" s="660" t="s">
        <v>32</v>
      </c>
      <c r="M96" s="660" t="s">
        <v>33</v>
      </c>
      <c r="N96" s="660" t="s">
        <v>34</v>
      </c>
      <c r="O96" s="660" t="s">
        <v>35</v>
      </c>
      <c r="P96" s="660" t="s">
        <v>36</v>
      </c>
      <c r="Q96" s="660" t="s">
        <v>37</v>
      </c>
      <c r="R96" s="660" t="s">
        <v>38</v>
      </c>
      <c r="S96" s="660" t="s">
        <v>39</v>
      </c>
    </row>
    <row r="97" spans="1:21" x14ac:dyDescent="0.25">
      <c r="A97" s="654" t="s">
        <v>58</v>
      </c>
      <c r="B97" s="654" t="s">
        <v>5</v>
      </c>
      <c r="C97" s="656" t="s">
        <v>95</v>
      </c>
      <c r="D97" s="655" t="s">
        <v>67</v>
      </c>
      <c r="E97" s="663"/>
      <c r="F97" s="662"/>
      <c r="G97" s="662"/>
      <c r="H97" s="662"/>
      <c r="I97" s="662"/>
      <c r="J97" s="662"/>
      <c r="K97" s="662"/>
      <c r="L97" s="662"/>
      <c r="M97" s="662"/>
      <c r="N97" s="662"/>
      <c r="O97" s="662"/>
      <c r="P97" s="662">
        <v>8.0299999999999994</v>
      </c>
      <c r="Q97" s="662">
        <v>9.61</v>
      </c>
      <c r="R97" s="662">
        <v>10.19</v>
      </c>
      <c r="S97" s="662">
        <v>10.26</v>
      </c>
    </row>
    <row r="98" spans="1:21" x14ac:dyDescent="0.25">
      <c r="A98" s="654" t="s">
        <v>58</v>
      </c>
      <c r="B98" s="654" t="s">
        <v>5</v>
      </c>
      <c r="C98" s="656" t="s">
        <v>96</v>
      </c>
      <c r="D98" s="655" t="s">
        <v>67</v>
      </c>
      <c r="E98" s="663"/>
      <c r="F98" s="662"/>
      <c r="G98" s="662"/>
      <c r="H98" s="662"/>
      <c r="I98" s="662"/>
      <c r="J98" s="662"/>
      <c r="K98" s="662"/>
      <c r="L98" s="662"/>
      <c r="M98" s="662"/>
      <c r="N98" s="662"/>
      <c r="O98" s="662"/>
      <c r="P98" s="662">
        <v>6.83</v>
      </c>
      <c r="Q98" s="662">
        <v>8.42</v>
      </c>
      <c r="R98" s="662">
        <v>9</v>
      </c>
      <c r="S98" s="662">
        <v>9.07</v>
      </c>
    </row>
    <row r="99" spans="1:21" x14ac:dyDescent="0.25">
      <c r="A99" s="654" t="s">
        <v>58</v>
      </c>
      <c r="B99" s="654" t="s">
        <v>5</v>
      </c>
      <c r="C99" s="656" t="s">
        <v>97</v>
      </c>
      <c r="D99" s="655" t="s">
        <v>67</v>
      </c>
      <c r="E99" s="663">
        <v>4.4896000000000003</v>
      </c>
      <c r="F99" s="662">
        <v>5.1040000000000001</v>
      </c>
      <c r="G99" s="662">
        <v>6.1345000000000001</v>
      </c>
      <c r="H99" s="662">
        <v>5.5293000000000001</v>
      </c>
      <c r="I99" s="662">
        <v>5.13</v>
      </c>
      <c r="J99" s="662">
        <v>5.29</v>
      </c>
      <c r="K99" s="662">
        <v>5.66</v>
      </c>
      <c r="L99" s="662">
        <v>5.46</v>
      </c>
      <c r="M99" s="662">
        <v>5.32</v>
      </c>
      <c r="N99" s="662">
        <v>5.7</v>
      </c>
      <c r="O99" s="662">
        <v>6.42</v>
      </c>
      <c r="P99" s="662">
        <v>6.91</v>
      </c>
      <c r="Q99" s="662">
        <v>8.25</v>
      </c>
      <c r="R99" s="662">
        <v>8.4600000000000009</v>
      </c>
      <c r="S99" s="662">
        <v>7.83</v>
      </c>
    </row>
    <row r="100" spans="1:21" x14ac:dyDescent="0.25">
      <c r="A100" s="654" t="s">
        <v>58</v>
      </c>
      <c r="B100" s="654" t="s">
        <v>5</v>
      </c>
      <c r="C100" s="656" t="s">
        <v>98</v>
      </c>
      <c r="D100" s="655" t="s">
        <v>67</v>
      </c>
      <c r="E100" s="663"/>
      <c r="F100" s="662"/>
      <c r="G100" s="662"/>
      <c r="H100" s="662"/>
      <c r="I100" s="662"/>
      <c r="J100" s="662"/>
      <c r="K100" s="662"/>
      <c r="L100" s="662"/>
      <c r="M100" s="662"/>
      <c r="N100" s="662"/>
      <c r="O100" s="662"/>
      <c r="P100" s="662">
        <v>6.79</v>
      </c>
      <c r="Q100" s="662">
        <v>8.1300000000000008</v>
      </c>
      <c r="R100" s="662">
        <v>8.35</v>
      </c>
      <c r="S100" s="662">
        <v>7.71</v>
      </c>
    </row>
    <row r="101" spans="1:21" x14ac:dyDescent="0.25">
      <c r="A101" s="654" t="s">
        <v>58</v>
      </c>
      <c r="B101" s="654" t="s">
        <v>5</v>
      </c>
      <c r="C101" s="656" t="s">
        <v>99</v>
      </c>
      <c r="D101" s="655" t="s">
        <v>67</v>
      </c>
      <c r="E101" s="663"/>
      <c r="F101" s="662"/>
      <c r="G101" s="662"/>
      <c r="H101" s="662"/>
      <c r="I101" s="662"/>
      <c r="J101" s="662"/>
      <c r="K101" s="662"/>
      <c r="L101" s="662"/>
      <c r="M101" s="662"/>
      <c r="N101" s="662"/>
      <c r="O101" s="662"/>
      <c r="P101" s="662">
        <v>6.02</v>
      </c>
      <c r="Q101" s="662">
        <v>7.4</v>
      </c>
      <c r="R101" s="662">
        <v>7.51</v>
      </c>
      <c r="S101" s="662">
        <v>6.72</v>
      </c>
    </row>
    <row r="102" spans="1:21" x14ac:dyDescent="0.25">
      <c r="A102" s="654" t="s">
        <v>58</v>
      </c>
      <c r="B102" s="654" t="s">
        <v>5</v>
      </c>
      <c r="C102" s="656" t="s">
        <v>94</v>
      </c>
      <c r="D102" s="655" t="s">
        <v>67</v>
      </c>
      <c r="E102" s="663"/>
      <c r="F102" s="662"/>
      <c r="G102" s="662"/>
      <c r="H102" s="662"/>
      <c r="I102" s="662"/>
      <c r="J102" s="662"/>
      <c r="K102" s="662"/>
      <c r="L102" s="662"/>
      <c r="M102" s="662"/>
      <c r="N102" s="662"/>
      <c r="O102" s="662"/>
      <c r="P102" s="662">
        <v>5.88</v>
      </c>
      <c r="Q102" s="662">
        <v>7.26</v>
      </c>
      <c r="R102" s="662">
        <v>7.37</v>
      </c>
      <c r="S102" s="662">
        <v>6.58</v>
      </c>
    </row>
    <row r="104" spans="1:21" ht="13" x14ac:dyDescent="0.3">
      <c r="E104" s="660" t="s">
        <v>40</v>
      </c>
      <c r="F104" s="660" t="s">
        <v>41</v>
      </c>
      <c r="G104" s="660" t="s">
        <v>42</v>
      </c>
      <c r="H104" s="660" t="s">
        <v>43</v>
      </c>
      <c r="I104" s="660" t="s">
        <v>44</v>
      </c>
      <c r="J104" s="660" t="s">
        <v>45</v>
      </c>
      <c r="K104" s="660" t="s">
        <v>46</v>
      </c>
      <c r="L104" s="660" t="s">
        <v>47</v>
      </c>
      <c r="M104" s="660" t="s">
        <v>48</v>
      </c>
      <c r="N104" s="660" t="s">
        <v>49</v>
      </c>
      <c r="O104" s="660" t="s">
        <v>50</v>
      </c>
      <c r="P104" s="660" t="s">
        <v>51</v>
      </c>
      <c r="Q104" s="660" t="s">
        <v>52</v>
      </c>
      <c r="R104" s="660" t="s">
        <v>389</v>
      </c>
      <c r="S104" s="660" t="s">
        <v>390</v>
      </c>
      <c r="T104" s="660" t="s">
        <v>391</v>
      </c>
      <c r="U104" s="660" t="s">
        <v>412</v>
      </c>
    </row>
    <row r="105" spans="1:21" x14ac:dyDescent="0.25">
      <c r="A105" s="654" t="s">
        <v>58</v>
      </c>
      <c r="B105" s="654" t="s">
        <v>5</v>
      </c>
      <c r="C105" s="656" t="s">
        <v>100</v>
      </c>
      <c r="D105" s="655" t="s">
        <v>3</v>
      </c>
      <c r="E105" s="662">
        <v>3.9300000000000002E-2</v>
      </c>
      <c r="F105" s="662">
        <v>4.5400000000000003E-2</v>
      </c>
      <c r="G105" s="662">
        <v>4.4699999999999997E-2</v>
      </c>
      <c r="H105" s="662">
        <v>4.2999999999999997E-2</v>
      </c>
      <c r="I105" s="662">
        <v>4.2299999999999997E-2</v>
      </c>
      <c r="J105" s="662">
        <v>4.7899999999999998E-2</v>
      </c>
      <c r="K105" s="662">
        <v>4.7100000000000003E-2</v>
      </c>
      <c r="L105" s="662">
        <v>5.4800000000000001E-2</v>
      </c>
      <c r="M105" s="662">
        <v>5.5599999999999997E-2</v>
      </c>
      <c r="N105" s="662">
        <v>6.4699999999999994E-2</v>
      </c>
      <c r="O105" s="662">
        <v>5.8900000000000001E-2</v>
      </c>
      <c r="P105" s="662">
        <v>6.5299999999999997E-2</v>
      </c>
      <c r="Q105" s="662">
        <v>5.5599999999999997E-2</v>
      </c>
      <c r="R105" s="662">
        <v>6.1699999999999998E-2</v>
      </c>
      <c r="S105" s="662">
        <v>5.57E-2</v>
      </c>
      <c r="T105" s="662">
        <v>5.45E-2</v>
      </c>
      <c r="U105" s="675">
        <f>T105</f>
        <v>5.45E-2</v>
      </c>
    </row>
    <row r="106" spans="1:21" x14ac:dyDescent="0.25">
      <c r="A106" s="654" t="s">
        <v>58</v>
      </c>
      <c r="B106" s="654" t="s">
        <v>5</v>
      </c>
      <c r="C106" s="656" t="s">
        <v>101</v>
      </c>
      <c r="D106" s="655" t="s">
        <v>3</v>
      </c>
      <c r="E106" s="662">
        <v>3.5999999999999997E-2</v>
      </c>
      <c r="F106" s="662">
        <v>4.1000000000000002E-2</v>
      </c>
      <c r="G106" s="662">
        <v>4.0300000000000002E-2</v>
      </c>
      <c r="H106" s="662">
        <v>3.5099999999999999E-2</v>
      </c>
      <c r="I106" s="662">
        <v>3.6600000000000001E-2</v>
      </c>
      <c r="J106" s="662">
        <v>4.0500000000000001E-2</v>
      </c>
      <c r="K106" s="662">
        <v>4.24E-2</v>
      </c>
      <c r="L106" s="662">
        <v>4.5600000000000002E-2</v>
      </c>
      <c r="M106" s="662">
        <v>4.7399999999999998E-2</v>
      </c>
      <c r="N106" s="662">
        <v>5.1299999999999998E-2</v>
      </c>
      <c r="O106" s="662">
        <v>0.05</v>
      </c>
      <c r="P106" s="662">
        <v>4.9200000000000001E-2</v>
      </c>
      <c r="Q106" s="662">
        <v>4.8800000000000003E-2</v>
      </c>
      <c r="R106" s="662">
        <v>4.7399999999999998E-2</v>
      </c>
      <c r="S106" s="662">
        <v>4.4499999999999998E-2</v>
      </c>
      <c r="T106" s="662">
        <v>4.41E-2</v>
      </c>
      <c r="U106" s="675">
        <f t="shared" ref="U106:U109" si="24">T106</f>
        <v>4.41E-2</v>
      </c>
    </row>
    <row r="107" spans="1:21" x14ac:dyDescent="0.25">
      <c r="A107" s="654" t="s">
        <v>58</v>
      </c>
      <c r="B107" s="654" t="s">
        <v>5</v>
      </c>
      <c r="C107" s="656" t="s">
        <v>102</v>
      </c>
      <c r="D107" s="655" t="s">
        <v>3</v>
      </c>
      <c r="E107" s="662">
        <v>3.32E-2</v>
      </c>
      <c r="F107" s="662">
        <v>3.9100000000000003E-2</v>
      </c>
      <c r="G107" s="662">
        <v>3.5999999999999997E-2</v>
      </c>
      <c r="H107" s="662">
        <v>3.1699999999999999E-2</v>
      </c>
      <c r="I107" s="662">
        <v>3.3099999999999997E-2</v>
      </c>
      <c r="J107" s="662">
        <v>3.49E-2</v>
      </c>
      <c r="K107" s="662">
        <v>3.6499999999999998E-2</v>
      </c>
      <c r="L107" s="662">
        <v>3.78E-2</v>
      </c>
      <c r="M107" s="662">
        <v>3.8899999999999997E-2</v>
      </c>
      <c r="N107" s="662">
        <v>4.0300000000000002E-2</v>
      </c>
      <c r="O107" s="662">
        <v>4.0800000000000003E-2</v>
      </c>
      <c r="P107" s="662">
        <v>3.8800000000000001E-2</v>
      </c>
      <c r="Q107" s="662">
        <v>3.8699999999999998E-2</v>
      </c>
      <c r="R107" s="662">
        <v>3.7900000000000003E-2</v>
      </c>
      <c r="S107" s="662">
        <v>3.7699999999999997E-2</v>
      </c>
      <c r="T107" s="662">
        <v>3.6799999999999999E-2</v>
      </c>
      <c r="U107" s="675">
        <f t="shared" si="24"/>
        <v>3.6799999999999999E-2</v>
      </c>
    </row>
    <row r="108" spans="1:21" x14ac:dyDescent="0.25">
      <c r="A108" s="654" t="s">
        <v>58</v>
      </c>
      <c r="B108" s="654" t="s">
        <v>5</v>
      </c>
      <c r="C108" s="656" t="s">
        <v>103</v>
      </c>
      <c r="D108" s="655" t="s">
        <v>3</v>
      </c>
      <c r="E108" s="662">
        <v>2.9600000000000001E-2</v>
      </c>
      <c r="F108" s="662">
        <v>3.5099999999999999E-2</v>
      </c>
      <c r="G108" s="662">
        <v>3.0599999999999999E-2</v>
      </c>
      <c r="H108" s="662">
        <v>2.6800000000000001E-2</v>
      </c>
      <c r="I108" s="662">
        <v>2.7300000000000001E-2</v>
      </c>
      <c r="J108" s="662">
        <v>2.7699999999999999E-2</v>
      </c>
      <c r="K108" s="662">
        <v>2.7199999999999998E-2</v>
      </c>
      <c r="L108" s="662">
        <v>2.86E-2</v>
      </c>
      <c r="M108" s="662">
        <v>3.0300000000000001E-2</v>
      </c>
      <c r="N108" s="662">
        <v>3.0800000000000001E-2</v>
      </c>
      <c r="O108" s="662">
        <v>3.1899999999999998E-2</v>
      </c>
      <c r="P108" s="662">
        <v>3.3099999999999997E-2</v>
      </c>
      <c r="Q108" s="662">
        <v>3.1399999999999997E-2</v>
      </c>
      <c r="R108" s="662">
        <v>3.0599999999999999E-2</v>
      </c>
      <c r="S108" s="662">
        <v>3.04E-2</v>
      </c>
      <c r="T108" s="662">
        <v>2.9100000000000001E-2</v>
      </c>
      <c r="U108" s="675">
        <f t="shared" si="24"/>
        <v>2.9100000000000001E-2</v>
      </c>
    </row>
    <row r="109" spans="1:21" x14ac:dyDescent="0.25">
      <c r="A109" s="654" t="s">
        <v>58</v>
      </c>
      <c r="B109" s="654" t="s">
        <v>5</v>
      </c>
      <c r="C109" s="656" t="s">
        <v>104</v>
      </c>
      <c r="D109" s="655" t="s">
        <v>3</v>
      </c>
      <c r="E109" s="662">
        <v>2.93E-2</v>
      </c>
      <c r="F109" s="662">
        <v>3.3799999999999997E-2</v>
      </c>
      <c r="G109" s="662">
        <v>2.63E-2</v>
      </c>
      <c r="H109" s="662">
        <v>2.4899999999999999E-2</v>
      </c>
      <c r="I109" s="662">
        <v>2.1999999999999999E-2</v>
      </c>
      <c r="J109" s="662">
        <v>2.5100000000000001E-2</v>
      </c>
      <c r="K109" s="662">
        <v>2.6599999999999999E-2</v>
      </c>
      <c r="L109" s="662">
        <v>3.0200000000000001E-2</v>
      </c>
      <c r="M109" s="662">
        <v>3.27E-2</v>
      </c>
      <c r="N109" s="662">
        <v>2.98E-2</v>
      </c>
      <c r="O109" s="662">
        <v>3.0599999999999999E-2</v>
      </c>
      <c r="P109" s="662">
        <v>2.9700000000000001E-2</v>
      </c>
      <c r="Q109" s="662">
        <v>2.9100000000000001E-2</v>
      </c>
      <c r="R109" s="662">
        <v>2.69E-2</v>
      </c>
      <c r="S109" s="662">
        <v>2.5999999999999999E-2</v>
      </c>
      <c r="T109" s="662">
        <v>2.4199999999999999E-2</v>
      </c>
      <c r="U109" s="675">
        <f t="shared" si="24"/>
        <v>2.4199999999999999E-2</v>
      </c>
    </row>
    <row r="110" spans="1:21" x14ac:dyDescent="0.25">
      <c r="D110" s="2"/>
    </row>
    <row r="111" spans="1:21" x14ac:dyDescent="0.25">
      <c r="A111" s="666" t="s">
        <v>4</v>
      </c>
      <c r="E111" s="5"/>
      <c r="F111" s="5"/>
      <c r="G111" s="5"/>
      <c r="H111" s="5"/>
      <c r="I111" s="5"/>
      <c r="J111" s="5"/>
      <c r="K111" s="5"/>
      <c r="L111" s="5"/>
      <c r="M111" s="5"/>
      <c r="N111" s="5"/>
      <c r="O111" s="5"/>
      <c r="P111" s="5"/>
      <c r="Q111" s="5"/>
    </row>
    <row r="112" spans="1:21" x14ac:dyDescent="0.25">
      <c r="A112" s="8" t="s">
        <v>6</v>
      </c>
      <c r="F112" s="4"/>
      <c r="G112" s="4"/>
      <c r="H112" s="4"/>
      <c r="I112" s="4"/>
      <c r="J112" s="4"/>
      <c r="K112" s="651"/>
      <c r="L112" s="4"/>
      <c r="M112" s="4"/>
      <c r="N112" s="4"/>
    </row>
    <row r="113" spans="1:19" x14ac:dyDescent="0.25">
      <c r="F113" s="4"/>
      <c r="G113" s="4"/>
      <c r="H113" s="4"/>
      <c r="I113" s="4"/>
      <c r="J113" s="4"/>
      <c r="K113" s="651"/>
      <c r="L113" s="4"/>
      <c r="M113" s="4"/>
      <c r="N113" s="4"/>
    </row>
    <row r="114" spans="1:19" ht="13" x14ac:dyDescent="0.3">
      <c r="A114" s="10" t="s">
        <v>64</v>
      </c>
      <c r="B114" s="7"/>
      <c r="C114" s="7"/>
      <c r="F114" s="4"/>
      <c r="G114" s="4"/>
      <c r="H114" s="4"/>
      <c r="I114" s="56"/>
      <c r="J114" s="4"/>
      <c r="K114" s="651"/>
      <c r="L114" s="4"/>
      <c r="M114" s="4"/>
      <c r="N114" s="4"/>
    </row>
    <row r="115" spans="1:19" ht="13" thickBot="1" x14ac:dyDescent="0.3">
      <c r="G115" s="4"/>
      <c r="H115" s="4"/>
      <c r="I115" s="4"/>
      <c r="J115" s="4"/>
      <c r="K115" s="651"/>
      <c r="L115" s="4"/>
      <c r="M115" s="4"/>
      <c r="N115" s="4"/>
    </row>
    <row r="116" spans="1:19" ht="13" thickBot="1" x14ac:dyDescent="0.3">
      <c r="A116" s="65" t="s">
        <v>8</v>
      </c>
      <c r="B116" s="64" t="s">
        <v>203</v>
      </c>
      <c r="C116" s="912" t="s">
        <v>10</v>
      </c>
      <c r="D116" s="913"/>
      <c r="E116" s="924" t="s">
        <v>9</v>
      </c>
      <c r="F116" s="925"/>
      <c r="G116" s="925"/>
      <c r="H116" s="926"/>
      <c r="I116" s="4"/>
      <c r="J116" s="4"/>
      <c r="K116" s="651"/>
      <c r="L116" s="4"/>
      <c r="M116" s="56"/>
      <c r="N116" s="4"/>
      <c r="O116" s="4"/>
    </row>
    <row r="117" spans="1:19" x14ac:dyDescent="0.25">
      <c r="A117" s="70"/>
      <c r="B117" s="66"/>
      <c r="C117" s="914"/>
      <c r="D117" s="915"/>
      <c r="E117" s="927"/>
      <c r="F117" s="928"/>
      <c r="G117" s="928"/>
      <c r="H117" s="929"/>
      <c r="I117" s="4"/>
      <c r="J117" s="4"/>
      <c r="K117" s="651"/>
      <c r="L117" s="4"/>
      <c r="M117" s="56"/>
      <c r="N117" s="4"/>
      <c r="O117" s="4"/>
    </row>
    <row r="118" spans="1:19" x14ac:dyDescent="0.25">
      <c r="A118" s="71" t="s">
        <v>88</v>
      </c>
      <c r="B118" s="74">
        <v>158.9873</v>
      </c>
      <c r="C118" s="903" t="s">
        <v>72</v>
      </c>
      <c r="D118" s="904"/>
      <c r="E118" s="918"/>
      <c r="F118" s="919"/>
      <c r="G118" s="919"/>
      <c r="H118" s="920"/>
      <c r="I118" s="4"/>
      <c r="J118" s="4"/>
      <c r="K118" s="651"/>
      <c r="L118" s="4"/>
      <c r="M118" s="4"/>
      <c r="N118" s="4"/>
      <c r="O118" s="4"/>
    </row>
    <row r="119" spans="1:19" x14ac:dyDescent="0.25">
      <c r="A119" s="71" t="s">
        <v>88</v>
      </c>
      <c r="B119" s="75">
        <v>7.33</v>
      </c>
      <c r="C119" s="903" t="s">
        <v>74</v>
      </c>
      <c r="D119" s="904"/>
      <c r="E119" s="930" t="s">
        <v>75</v>
      </c>
      <c r="F119" s="931"/>
      <c r="G119" s="931"/>
      <c r="H119" s="932"/>
      <c r="I119" s="4"/>
      <c r="J119" s="4"/>
      <c r="K119" s="651"/>
      <c r="L119" s="4"/>
      <c r="M119" s="4"/>
      <c r="N119" s="4"/>
      <c r="O119" s="4"/>
    </row>
    <row r="120" spans="1:19" x14ac:dyDescent="0.25">
      <c r="A120" s="71"/>
      <c r="B120" s="75"/>
      <c r="C120" s="903"/>
      <c r="D120" s="904"/>
      <c r="E120" s="930"/>
      <c r="F120" s="931"/>
      <c r="G120" s="931"/>
      <c r="H120" s="932"/>
      <c r="I120" s="4"/>
      <c r="J120" s="4"/>
      <c r="K120" s="651"/>
      <c r="L120" s="4"/>
      <c r="M120" s="4"/>
      <c r="N120" s="4"/>
      <c r="O120" s="4"/>
    </row>
    <row r="121" spans="1:19" ht="14.5" x14ac:dyDescent="0.35">
      <c r="A121" s="67" t="s">
        <v>12</v>
      </c>
      <c r="B121" s="76">
        <v>11.111000000000001</v>
      </c>
      <c r="C121" s="916" t="s">
        <v>13</v>
      </c>
      <c r="D121" s="917"/>
      <c r="E121" s="918" t="s">
        <v>14</v>
      </c>
      <c r="F121" s="919"/>
      <c r="G121" s="919"/>
      <c r="H121" s="920"/>
      <c r="I121" s="4"/>
      <c r="J121" s="56"/>
      <c r="K121" s="54"/>
      <c r="L121" s="54"/>
      <c r="M121" s="54"/>
      <c r="N121" s="54"/>
      <c r="O121" s="54"/>
      <c r="P121" s="15"/>
      <c r="Q121" s="15"/>
      <c r="R121" s="15"/>
      <c r="S121" s="15"/>
    </row>
    <row r="122" spans="1:19" ht="14.5" x14ac:dyDescent="0.35">
      <c r="A122" s="67"/>
      <c r="B122" s="76"/>
      <c r="C122" s="916"/>
      <c r="D122" s="917"/>
      <c r="E122" s="918"/>
      <c r="F122" s="919"/>
      <c r="G122" s="919"/>
      <c r="H122" s="920"/>
      <c r="I122" s="4"/>
      <c r="J122" s="56"/>
      <c r="K122" s="54"/>
      <c r="L122" s="54"/>
      <c r="M122" s="54"/>
      <c r="N122" s="54"/>
      <c r="O122" s="54"/>
      <c r="P122" s="15"/>
      <c r="Q122" s="15"/>
      <c r="R122" s="15"/>
      <c r="S122" s="15"/>
    </row>
    <row r="123" spans="1:19" ht="14.5" x14ac:dyDescent="0.35">
      <c r="A123" s="67" t="s">
        <v>18</v>
      </c>
      <c r="B123" s="77">
        <v>13.29</v>
      </c>
      <c r="C123" s="73" t="s">
        <v>13</v>
      </c>
      <c r="D123" s="61"/>
      <c r="E123" s="921" t="s">
        <v>20</v>
      </c>
      <c r="F123" s="922"/>
      <c r="G123" s="922"/>
      <c r="H123" s="923"/>
      <c r="I123" s="57"/>
      <c r="J123" s="4"/>
      <c r="K123" s="651"/>
      <c r="L123" s="54"/>
      <c r="M123" s="4"/>
      <c r="N123" s="4"/>
      <c r="O123" s="4"/>
    </row>
    <row r="124" spans="1:19" x14ac:dyDescent="0.25">
      <c r="A124" s="72"/>
      <c r="B124" s="75"/>
      <c r="C124" s="903"/>
      <c r="D124" s="904"/>
      <c r="E124" s="918"/>
      <c r="F124" s="919"/>
      <c r="G124" s="919"/>
      <c r="H124" s="920"/>
      <c r="I124" s="4"/>
      <c r="J124" s="4"/>
      <c r="K124" s="651"/>
      <c r="L124" s="4"/>
      <c r="M124" s="4"/>
      <c r="N124" s="4"/>
      <c r="O124" s="4"/>
    </row>
    <row r="125" spans="1:19" ht="14.5" x14ac:dyDescent="0.35">
      <c r="A125" s="24" t="s">
        <v>21</v>
      </c>
      <c r="B125" s="63">
        <v>0.01</v>
      </c>
      <c r="C125" s="905" t="s">
        <v>212</v>
      </c>
      <c r="D125" s="906"/>
      <c r="E125" s="921" t="s">
        <v>197</v>
      </c>
      <c r="F125" s="922"/>
      <c r="G125" s="922"/>
      <c r="H125" s="923"/>
      <c r="I125" s="4"/>
      <c r="J125" s="4"/>
      <c r="K125" s="651"/>
      <c r="L125" s="4"/>
      <c r="M125" s="4"/>
      <c r="N125" s="4"/>
      <c r="O125" s="4"/>
    </row>
    <row r="126" spans="1:19" x14ac:dyDescent="0.25">
      <c r="A126" s="67"/>
      <c r="B126" s="67"/>
      <c r="C126" s="899"/>
      <c r="D126" s="900"/>
      <c r="E126" s="918"/>
      <c r="F126" s="919"/>
      <c r="G126" s="919"/>
      <c r="H126" s="920"/>
      <c r="I126" s="4"/>
      <c r="J126" s="56"/>
      <c r="K126" s="54"/>
      <c r="L126" s="54"/>
      <c r="M126" s="54"/>
      <c r="N126" s="54"/>
      <c r="O126" s="54"/>
      <c r="P126" s="15"/>
      <c r="Q126" s="15"/>
      <c r="R126" s="15"/>
      <c r="S126" s="15"/>
    </row>
    <row r="127" spans="1:19" x14ac:dyDescent="0.25">
      <c r="A127" s="71" t="s">
        <v>196</v>
      </c>
      <c r="B127" s="62">
        <f>1/0.2778</f>
        <v>3.599712023038157</v>
      </c>
      <c r="C127" s="903" t="s">
        <v>65</v>
      </c>
      <c r="D127" s="904"/>
      <c r="E127" s="918"/>
      <c r="F127" s="919"/>
      <c r="G127" s="919"/>
      <c r="H127" s="920"/>
      <c r="I127" s="4"/>
      <c r="J127" s="4"/>
      <c r="K127" s="651"/>
      <c r="L127" s="4"/>
      <c r="M127" s="4"/>
      <c r="N127" s="4"/>
      <c r="O127" s="4"/>
    </row>
    <row r="128" spans="1:19" x14ac:dyDescent="0.25">
      <c r="A128" s="71" t="s">
        <v>196</v>
      </c>
      <c r="B128" s="62">
        <v>1000</v>
      </c>
      <c r="C128" s="903" t="s">
        <v>66</v>
      </c>
      <c r="D128" s="904"/>
      <c r="E128" s="918"/>
      <c r="F128" s="919"/>
      <c r="G128" s="919"/>
      <c r="H128" s="920"/>
      <c r="I128" s="4"/>
      <c r="J128" s="4"/>
      <c r="K128" s="651"/>
      <c r="L128" s="4"/>
      <c r="M128" s="4"/>
      <c r="N128" s="4"/>
      <c r="O128" s="4"/>
    </row>
    <row r="129" spans="1:18" x14ac:dyDescent="0.25">
      <c r="A129" s="71" t="s">
        <v>196</v>
      </c>
      <c r="B129" s="68">
        <v>0.29307109999999997</v>
      </c>
      <c r="C129" s="907" t="s">
        <v>73</v>
      </c>
      <c r="D129" s="908"/>
      <c r="E129" s="918"/>
      <c r="F129" s="919"/>
      <c r="G129" s="919"/>
      <c r="H129" s="920"/>
      <c r="I129" s="4"/>
      <c r="J129" s="4"/>
      <c r="K129" s="651"/>
      <c r="L129" s="4"/>
      <c r="M129" s="4"/>
      <c r="N129" s="4"/>
      <c r="O129" s="4"/>
    </row>
    <row r="130" spans="1:18" x14ac:dyDescent="0.25">
      <c r="A130" s="67"/>
      <c r="B130" s="67"/>
      <c r="C130" s="899"/>
      <c r="D130" s="900"/>
      <c r="E130" s="918"/>
      <c r="F130" s="919"/>
      <c r="G130" s="919"/>
      <c r="H130" s="920"/>
      <c r="I130" s="4"/>
      <c r="J130" s="4"/>
      <c r="K130" s="651"/>
      <c r="L130" s="4"/>
      <c r="M130" s="4"/>
      <c r="N130" s="4"/>
      <c r="O130" s="4"/>
    </row>
    <row r="131" spans="1:18" ht="13" thickBot="1" x14ac:dyDescent="0.3">
      <c r="A131" s="69" t="s">
        <v>69</v>
      </c>
      <c r="B131" s="69">
        <v>1.2</v>
      </c>
      <c r="C131" s="901"/>
      <c r="D131" s="902"/>
      <c r="E131" s="909"/>
      <c r="F131" s="910"/>
      <c r="G131" s="910"/>
      <c r="H131" s="911"/>
      <c r="I131" s="4"/>
      <c r="J131" s="4"/>
      <c r="K131" s="651"/>
      <c r="L131" s="4"/>
      <c r="M131" s="4"/>
      <c r="N131" s="4"/>
      <c r="O131" s="4"/>
    </row>
    <row r="132" spans="1:18" x14ac:dyDescent="0.25">
      <c r="D132" s="2"/>
      <c r="H132" s="3"/>
      <c r="K132" s="651"/>
      <c r="L132" s="4"/>
      <c r="M132" s="4"/>
      <c r="N132" s="4"/>
      <c r="O132" s="4"/>
      <c r="P132" s="4"/>
      <c r="Q132" s="4"/>
      <c r="R132" s="4"/>
    </row>
  </sheetData>
  <mergeCells count="31">
    <mergeCell ref="E122:H122"/>
    <mergeCell ref="E123:H123"/>
    <mergeCell ref="E117:H117"/>
    <mergeCell ref="E118:H118"/>
    <mergeCell ref="E119:H119"/>
    <mergeCell ref="E120:H120"/>
    <mergeCell ref="E121:H121"/>
    <mergeCell ref="E131:H131"/>
    <mergeCell ref="C116:D116"/>
    <mergeCell ref="C117:D117"/>
    <mergeCell ref="C118:D118"/>
    <mergeCell ref="C119:D119"/>
    <mergeCell ref="C120:D120"/>
    <mergeCell ref="C121:D121"/>
    <mergeCell ref="C122:D122"/>
    <mergeCell ref="E124:H124"/>
    <mergeCell ref="E126:H126"/>
    <mergeCell ref="E127:H127"/>
    <mergeCell ref="E128:H128"/>
    <mergeCell ref="E129:H129"/>
    <mergeCell ref="E130:H130"/>
    <mergeCell ref="E125:H125"/>
    <mergeCell ref="E116:H116"/>
    <mergeCell ref="C130:D130"/>
    <mergeCell ref="C131:D131"/>
    <mergeCell ref="C124:D124"/>
    <mergeCell ref="C125:D125"/>
    <mergeCell ref="C126:D126"/>
    <mergeCell ref="C127:D127"/>
    <mergeCell ref="C128:D128"/>
    <mergeCell ref="C129:D129"/>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2:S22"/>
  <sheetViews>
    <sheetView workbookViewId="0">
      <selection activeCell="K17" sqref="K17"/>
    </sheetView>
  </sheetViews>
  <sheetFormatPr baseColWidth="10" defaultRowHeight="14.5" x14ac:dyDescent="0.35"/>
  <cols>
    <col min="10" max="10" width="12.26953125" bestFit="1" customWidth="1"/>
  </cols>
  <sheetData>
    <row r="2" spans="1:19" x14ac:dyDescent="0.35">
      <c r="A2" t="s">
        <v>110</v>
      </c>
      <c r="C2" t="s">
        <v>109</v>
      </c>
      <c r="E2" t="s">
        <v>111</v>
      </c>
      <c r="F2" t="s">
        <v>167</v>
      </c>
      <c r="G2" t="s">
        <v>112</v>
      </c>
      <c r="J2" t="s">
        <v>120</v>
      </c>
      <c r="L2" t="s">
        <v>8</v>
      </c>
      <c r="O2" t="s">
        <v>139</v>
      </c>
      <c r="Q2" t="s">
        <v>119</v>
      </c>
      <c r="S2" t="s">
        <v>119</v>
      </c>
    </row>
    <row r="3" spans="1:19" x14ac:dyDescent="0.35">
      <c r="A3" s="18">
        <v>0</v>
      </c>
      <c r="C3" s="17" t="s">
        <v>15</v>
      </c>
      <c r="E3" s="19">
        <v>2014</v>
      </c>
      <c r="F3">
        <f>E3+1</f>
        <v>2015</v>
      </c>
      <c r="G3" s="20">
        <v>1</v>
      </c>
      <c r="J3" s="49" t="s">
        <v>418</v>
      </c>
      <c r="L3" s="7" t="s">
        <v>59</v>
      </c>
      <c r="M3" t="s">
        <v>0</v>
      </c>
      <c r="O3" t="s">
        <v>140</v>
      </c>
      <c r="Q3" t="s">
        <v>281</v>
      </c>
      <c r="S3" t="s">
        <v>113</v>
      </c>
    </row>
    <row r="4" spans="1:19" ht="29" x14ac:dyDescent="0.35">
      <c r="A4" s="18">
        <v>0.02</v>
      </c>
      <c r="C4" s="17" t="s">
        <v>21</v>
      </c>
      <c r="E4">
        <v>2015</v>
      </c>
      <c r="F4" s="23">
        <f t="shared" ref="F4:F18" si="0">E4+1</f>
        <v>2016</v>
      </c>
      <c r="G4" s="20">
        <v>2</v>
      </c>
      <c r="H4" s="23"/>
      <c r="J4" s="16" t="s">
        <v>79</v>
      </c>
      <c r="L4" s="7" t="s">
        <v>15</v>
      </c>
      <c r="M4" t="s">
        <v>0</v>
      </c>
      <c r="O4" s="28" t="s">
        <v>141</v>
      </c>
      <c r="Q4" t="s">
        <v>282</v>
      </c>
      <c r="S4" s="23" t="s">
        <v>114</v>
      </c>
    </row>
    <row r="5" spans="1:19" x14ac:dyDescent="0.35">
      <c r="A5" s="18">
        <v>0.05</v>
      </c>
      <c r="C5" s="17" t="s">
        <v>58</v>
      </c>
      <c r="E5" s="19">
        <v>2016</v>
      </c>
      <c r="F5" s="23">
        <f t="shared" si="0"/>
        <v>2017</v>
      </c>
      <c r="G5" s="20">
        <v>3</v>
      </c>
      <c r="H5" s="23"/>
      <c r="J5" s="16" t="s">
        <v>239</v>
      </c>
      <c r="L5" s="7" t="s">
        <v>21</v>
      </c>
      <c r="M5" t="s">
        <v>0</v>
      </c>
      <c r="Q5" t="s">
        <v>283</v>
      </c>
      <c r="S5" s="23" t="s">
        <v>115</v>
      </c>
    </row>
    <row r="6" spans="1:19" x14ac:dyDescent="0.35">
      <c r="A6" s="18">
        <v>0.1</v>
      </c>
      <c r="C6" s="17" t="s">
        <v>18</v>
      </c>
      <c r="E6" s="23">
        <v>2017</v>
      </c>
      <c r="F6" s="23">
        <f t="shared" si="0"/>
        <v>2018</v>
      </c>
      <c r="G6" s="20">
        <v>4</v>
      </c>
      <c r="H6" s="23"/>
      <c r="J6" s="16"/>
      <c r="L6" s="13" t="s">
        <v>58</v>
      </c>
      <c r="M6" t="s">
        <v>62</v>
      </c>
      <c r="Q6" t="s">
        <v>296</v>
      </c>
      <c r="S6" s="23" t="s">
        <v>116</v>
      </c>
    </row>
    <row r="7" spans="1:19" x14ac:dyDescent="0.35">
      <c r="C7" s="17" t="s">
        <v>57</v>
      </c>
      <c r="E7" s="19">
        <v>2018</v>
      </c>
      <c r="F7" s="23">
        <f t="shared" si="0"/>
        <v>2019</v>
      </c>
      <c r="G7" s="20">
        <v>5</v>
      </c>
      <c r="H7" s="23"/>
      <c r="L7" s="13" t="s">
        <v>18</v>
      </c>
      <c r="M7" t="s">
        <v>0</v>
      </c>
      <c r="S7" s="23" t="s">
        <v>117</v>
      </c>
    </row>
    <row r="8" spans="1:19" x14ac:dyDescent="0.35">
      <c r="E8" s="23">
        <v>2019</v>
      </c>
      <c r="F8" s="23">
        <f t="shared" si="0"/>
        <v>2020</v>
      </c>
      <c r="G8" s="20">
        <v>6</v>
      </c>
      <c r="H8" s="23"/>
      <c r="L8" s="13" t="s">
        <v>57</v>
      </c>
      <c r="M8" t="s">
        <v>62</v>
      </c>
      <c r="S8" s="23" t="s">
        <v>118</v>
      </c>
    </row>
    <row r="9" spans="1:19" x14ac:dyDescent="0.35">
      <c r="E9" s="19">
        <v>2020</v>
      </c>
      <c r="F9" s="23">
        <f t="shared" si="0"/>
        <v>2021</v>
      </c>
      <c r="G9" s="20">
        <v>7</v>
      </c>
      <c r="H9" s="23"/>
      <c r="S9" s="23" t="s">
        <v>123</v>
      </c>
    </row>
    <row r="10" spans="1:19" x14ac:dyDescent="0.35">
      <c r="E10" s="23">
        <v>2021</v>
      </c>
      <c r="F10" s="23">
        <f t="shared" si="0"/>
        <v>2022</v>
      </c>
      <c r="G10" s="20">
        <v>8</v>
      </c>
      <c r="H10" s="23"/>
      <c r="S10" s="23" t="s">
        <v>124</v>
      </c>
    </row>
    <row r="11" spans="1:19" x14ac:dyDescent="0.35">
      <c r="E11" s="19">
        <v>2022</v>
      </c>
      <c r="F11" s="23">
        <f t="shared" si="0"/>
        <v>2023</v>
      </c>
      <c r="G11" s="20">
        <v>9</v>
      </c>
      <c r="H11" s="23"/>
      <c r="S11" s="23" t="s">
        <v>125</v>
      </c>
    </row>
    <row r="12" spans="1:19" x14ac:dyDescent="0.35">
      <c r="E12" s="23">
        <v>2023</v>
      </c>
      <c r="F12" s="23">
        <f t="shared" si="0"/>
        <v>2024</v>
      </c>
      <c r="G12" s="20">
        <v>10</v>
      </c>
      <c r="H12" s="23"/>
      <c r="S12" s="23" t="s">
        <v>126</v>
      </c>
    </row>
    <row r="13" spans="1:19" x14ac:dyDescent="0.35">
      <c r="E13" s="19">
        <v>2024</v>
      </c>
      <c r="F13" s="23">
        <f t="shared" si="0"/>
        <v>2025</v>
      </c>
      <c r="G13" s="20">
        <v>11</v>
      </c>
      <c r="H13" s="23"/>
      <c r="S13" s="23" t="s">
        <v>284</v>
      </c>
    </row>
    <row r="14" spans="1:19" x14ac:dyDescent="0.35">
      <c r="E14" s="23">
        <v>2025</v>
      </c>
      <c r="F14" s="23">
        <f t="shared" si="0"/>
        <v>2026</v>
      </c>
      <c r="G14" s="20">
        <v>12</v>
      </c>
      <c r="H14" s="23"/>
      <c r="S14" s="23" t="s">
        <v>285</v>
      </c>
    </row>
    <row r="15" spans="1:19" ht="15" thickBot="1" x14ac:dyDescent="0.4">
      <c r="E15" s="19">
        <v>2026</v>
      </c>
      <c r="F15" s="23">
        <f t="shared" si="0"/>
        <v>2027</v>
      </c>
      <c r="G15" s="20">
        <v>13</v>
      </c>
      <c r="H15" s="23"/>
      <c r="S15" s="23" t="s">
        <v>286</v>
      </c>
    </row>
    <row r="16" spans="1:19" ht="15" thickBot="1" x14ac:dyDescent="0.4">
      <c r="E16" s="23">
        <v>2027</v>
      </c>
      <c r="F16" s="23">
        <f t="shared" si="0"/>
        <v>2028</v>
      </c>
      <c r="G16" s="20">
        <v>14</v>
      </c>
      <c r="H16" s="23"/>
      <c r="J16" s="48"/>
      <c r="S16" s="23" t="s">
        <v>287</v>
      </c>
    </row>
    <row r="17" spans="1:19" x14ac:dyDescent="0.35">
      <c r="E17" s="19">
        <v>2028</v>
      </c>
      <c r="F17" s="23">
        <f t="shared" si="0"/>
        <v>2029</v>
      </c>
      <c r="G17" s="20">
        <v>15</v>
      </c>
      <c r="H17" s="23"/>
      <c r="S17" s="23" t="s">
        <v>288</v>
      </c>
    </row>
    <row r="18" spans="1:19" x14ac:dyDescent="0.35">
      <c r="E18" s="23">
        <v>2029</v>
      </c>
      <c r="F18" s="23">
        <f t="shared" si="0"/>
        <v>2030</v>
      </c>
      <c r="S18" s="23" t="s">
        <v>289</v>
      </c>
    </row>
    <row r="19" spans="1:19" x14ac:dyDescent="0.35">
      <c r="S19" s="23" t="s">
        <v>290</v>
      </c>
    </row>
    <row r="20" spans="1:19" x14ac:dyDescent="0.35">
      <c r="C20" t="s">
        <v>232</v>
      </c>
      <c r="S20" s="23" t="s">
        <v>291</v>
      </c>
    </row>
    <row r="21" spans="1:19" x14ac:dyDescent="0.35">
      <c r="A21" s="23" t="s">
        <v>122</v>
      </c>
      <c r="C21" t="s">
        <v>214</v>
      </c>
      <c r="D21" t="s">
        <v>214</v>
      </c>
      <c r="E21" s="23" t="s">
        <v>214</v>
      </c>
      <c r="S21" s="23" t="s">
        <v>292</v>
      </c>
    </row>
    <row r="22" spans="1:19" x14ac:dyDescent="0.35">
      <c r="A22" s="23">
        <v>2015</v>
      </c>
      <c r="C22" t="s">
        <v>0</v>
      </c>
      <c r="D22" s="23" t="s">
        <v>215</v>
      </c>
      <c r="E22" t="s">
        <v>63</v>
      </c>
      <c r="S22" s="23"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12</vt:i4>
      </vt:variant>
    </vt:vector>
  </HeadingPairs>
  <TitlesOfParts>
    <vt:vector size="20" baseType="lpstr">
      <vt:lpstr>Read me</vt:lpstr>
      <vt:lpstr>Paramètres et Résultats</vt:lpstr>
      <vt:lpstr>Plan d'actions</vt:lpstr>
      <vt:lpstr>Archiver plans d'actions</vt:lpstr>
      <vt:lpstr>Conversion unités</vt:lpstr>
      <vt:lpstr>Scénarios prix énergie</vt:lpstr>
      <vt:lpstr>Prix historique</vt:lpstr>
      <vt:lpstr>Liste</vt:lpstr>
      <vt:lpstr>Actions</vt:lpstr>
      <vt:lpstr>Année_de_mise_en_service</vt:lpstr>
      <vt:lpstr>Année_fin_étude</vt:lpstr>
      <vt:lpstr>Carburant_utilisé</vt:lpstr>
      <vt:lpstr>choix</vt:lpstr>
      <vt:lpstr>Durée_de_simulation</vt:lpstr>
      <vt:lpstr>Energie</vt:lpstr>
      <vt:lpstr>Marge_erreur</vt:lpstr>
      <vt:lpstr>Scénario</vt:lpstr>
      <vt:lpstr>Tx_a</vt:lpstr>
      <vt:lpstr>Type_Energie</vt:lpstr>
      <vt:lpstr>'Plan d''actions'!Zone_d_impression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2019-12-06T10:35:15Z</dcterms:modified>
</cp:coreProperties>
</file>