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90" windowWidth="21135" windowHeight="9660"/>
  </bookViews>
  <sheets>
    <sheet name="Feuil1" sheetId="1" r:id="rId1"/>
    <sheet name="Feuil2" sheetId="2" r:id="rId2"/>
    <sheet name="Feuil3" sheetId="3" r:id="rId3"/>
  </sheets>
  <definedNames>
    <definedName name="Région">Feuil1!$C$5:$C$7</definedName>
    <definedName name="zone">Feuil1!$C$11</definedName>
  </definedNames>
  <calcPr calcId="124519"/>
</workbook>
</file>

<file path=xl/calcChain.xml><?xml version="1.0" encoding="utf-8"?>
<calcChain xmlns="http://schemas.openxmlformats.org/spreadsheetml/2006/main">
  <c r="G25" i="1"/>
  <c r="I45"/>
  <c r="J45"/>
  <c r="K45"/>
  <c r="L45"/>
  <c r="M45"/>
  <c r="N45"/>
  <c r="O45"/>
  <c r="P45"/>
  <c r="Q45"/>
  <c r="I46"/>
  <c r="J46" s="1"/>
  <c r="K46" s="1"/>
  <c r="L46" s="1"/>
  <c r="M46" s="1"/>
  <c r="N46" s="1"/>
  <c r="O46" s="1"/>
  <c r="P46" s="1"/>
  <c r="Q46" s="1"/>
  <c r="E46"/>
  <c r="D46"/>
  <c r="F44"/>
  <c r="G44"/>
  <c r="H44"/>
  <c r="I44"/>
  <c r="J44"/>
  <c r="K44"/>
  <c r="L44"/>
  <c r="M44"/>
  <c r="N44"/>
  <c r="O44"/>
  <c r="P44"/>
  <c r="Q44"/>
  <c r="E44"/>
  <c r="D44"/>
  <c r="C35"/>
  <c r="C36" s="1"/>
  <c r="C41" s="1"/>
  <c r="D43"/>
  <c r="E43" s="1"/>
  <c r="L13"/>
  <c r="J13"/>
  <c r="H13"/>
  <c r="J17"/>
  <c r="J18" s="1"/>
  <c r="L17"/>
  <c r="H17"/>
  <c r="C14"/>
  <c r="F43" l="1"/>
  <c r="D41"/>
  <c r="N17"/>
  <c r="L18"/>
  <c r="G43" l="1"/>
  <c r="H18"/>
  <c r="L14"/>
  <c r="J14"/>
  <c r="H14"/>
  <c r="H20"/>
  <c r="D24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H43" l="1"/>
  <c r="H15"/>
  <c r="L15"/>
  <c r="J15"/>
  <c r="N18"/>
  <c r="H22" s="1"/>
  <c r="N13"/>
  <c r="N14"/>
  <c r="C37" s="1"/>
  <c r="I43" l="1"/>
  <c r="N15"/>
  <c r="C25"/>
  <c r="C45" s="1"/>
  <c r="C46" s="1"/>
  <c r="E25" l="1"/>
  <c r="J43"/>
  <c r="C40"/>
  <c r="D40" s="1"/>
  <c r="H25"/>
  <c r="P25"/>
  <c r="M25"/>
  <c r="L25"/>
  <c r="Q25"/>
  <c r="I25"/>
  <c r="H28"/>
  <c r="D25"/>
  <c r="N25"/>
  <c r="J25"/>
  <c r="F25"/>
  <c r="O25"/>
  <c r="K25"/>
  <c r="C26"/>
  <c r="D26" s="1"/>
  <c r="H48" l="1"/>
  <c r="E26"/>
  <c r="D45"/>
  <c r="E45"/>
  <c r="F45"/>
  <c r="H45"/>
  <c r="G45"/>
  <c r="K43"/>
  <c r="F26"/>
  <c r="G26" s="1"/>
  <c r="H26" s="1"/>
  <c r="I26" s="1"/>
  <c r="J26" s="1"/>
  <c r="K26" s="1"/>
  <c r="L26" s="1"/>
  <c r="M26" s="1"/>
  <c r="N26" s="1"/>
  <c r="O26" s="1"/>
  <c r="P26" s="1"/>
  <c r="Q26" s="1"/>
  <c r="C29"/>
  <c r="C30" s="1"/>
  <c r="C28"/>
  <c r="H29" l="1"/>
  <c r="F46"/>
  <c r="G46" s="1"/>
  <c r="H46" s="1"/>
  <c r="L43"/>
  <c r="M43" l="1"/>
  <c r="N43" l="1"/>
  <c r="O43" l="1"/>
  <c r="P43" l="1"/>
  <c r="C49" l="1"/>
  <c r="C50" s="1"/>
  <c r="C48"/>
  <c r="Q43"/>
  <c r="H49" l="1"/>
</calcChain>
</file>

<file path=xl/sharedStrings.xml><?xml version="1.0" encoding="utf-8"?>
<sst xmlns="http://schemas.openxmlformats.org/spreadsheetml/2006/main" count="55" uniqueCount="47">
  <si>
    <t>Nombre de truies</t>
  </si>
  <si>
    <t>Distance réseau de chaleur</t>
  </si>
  <si>
    <t>Coût total</t>
  </si>
  <si>
    <t>Taux d'actualisation</t>
  </si>
  <si>
    <t>Année</t>
  </si>
  <si>
    <t>TRI</t>
  </si>
  <si>
    <t>VAN</t>
  </si>
  <si>
    <t>Inflation électricité</t>
  </si>
  <si>
    <t>Coût /m</t>
  </si>
  <si>
    <t>CALCULATEUR DE RENTABILITE ECONOMIQUE DU REMPLACEMENT DU CHAUFFAGE ELECTRIQUE PAR LA CHALEUR DE COGENERATION</t>
  </si>
  <si>
    <t>Elevage porcin</t>
  </si>
  <si>
    <t>Coût du chauffage électrique [€/an]</t>
  </si>
  <si>
    <t>Totale [kWh/an]</t>
  </si>
  <si>
    <t>Coût du réseau de chaleur</t>
  </si>
  <si>
    <t xml:space="preserve">Coût du remplacement </t>
  </si>
  <si>
    <t>Consommations</t>
  </si>
  <si>
    <t>Par truie [kWh/an]</t>
  </si>
  <si>
    <t>Total</t>
  </si>
  <si>
    <t>Prix électricité (€/KWh)</t>
  </si>
  <si>
    <t xml:space="preserve">        Post sevrage</t>
  </si>
  <si>
    <t>Engraissement</t>
  </si>
  <si>
    <t xml:space="preserve"> Maternités</t>
  </si>
  <si>
    <t>TEC</t>
  </si>
  <si>
    <t>Nombre de places</t>
  </si>
  <si>
    <t>Coût du remplacement par place maternité</t>
  </si>
  <si>
    <t>Coût du remplacement par place post maternité</t>
  </si>
  <si>
    <t>Ouest</t>
  </si>
  <si>
    <t>Est</t>
  </si>
  <si>
    <t>Sud</t>
  </si>
  <si>
    <t>Région</t>
  </si>
  <si>
    <t>Rendement électrique</t>
  </si>
  <si>
    <t>Puissance électrique du moteur de cogénération (kW)</t>
  </si>
  <si>
    <t>Rendement thermique</t>
  </si>
  <si>
    <t>Consommation thermique du digesteur (kWh/an)</t>
  </si>
  <si>
    <t>Chaleur disponible (kWh/an)</t>
  </si>
  <si>
    <t>Chaleur restante après chauffage de l'élevage (kWh/an)</t>
  </si>
  <si>
    <t>Pe [c€/kWh]</t>
  </si>
  <si>
    <t>Législation actuelle</t>
  </si>
  <si>
    <t>Si la chaleur remplaceant l'énergie électrique était éligible</t>
  </si>
  <si>
    <t>V</t>
  </si>
  <si>
    <t>Flux financier (investissement - économie d'électricité)</t>
  </si>
  <si>
    <t>Indexation des tarifs</t>
  </si>
  <si>
    <t xml:space="preserve">Investissement - économie d'électricité - coût d'opportunité </t>
  </si>
  <si>
    <t>Valeur de la différence de la prime</t>
  </si>
  <si>
    <t>Solde cumulé</t>
  </si>
  <si>
    <t>Temps de retour non actualisé (années)</t>
  </si>
  <si>
    <t>Temps de retour actualisé (années)</t>
  </si>
</sst>
</file>

<file path=xl/styles.xml><?xml version="1.0" encoding="utf-8"?>
<styleSheet xmlns="http://schemas.openxmlformats.org/spreadsheetml/2006/main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24487E"/>
      <name val="Calibri"/>
      <family val="2"/>
      <scheme val="minor"/>
    </font>
    <font>
      <sz val="11"/>
      <color rgb="FF008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rgb="FF3F3F3F"/>
      <name val="Arial"/>
      <family val="2"/>
    </font>
    <font>
      <sz val="11"/>
      <color rgb="FF008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2" borderId="1" applyNumberFormat="0" applyAlignment="0" applyProtection="0"/>
  </cellStyleXfs>
  <cellXfs count="47">
    <xf numFmtId="0" fontId="0" fillId="0" borderId="0" xfId="0"/>
    <xf numFmtId="9" fontId="0" fillId="0" borderId="0" xfId="0" applyNumberFormat="1"/>
    <xf numFmtId="8" fontId="0" fillId="0" borderId="0" xfId="0" applyNumberFormat="1"/>
    <xf numFmtId="9" fontId="0" fillId="0" borderId="0" xfId="1" applyFont="1"/>
    <xf numFmtId="0" fontId="0" fillId="0" borderId="0" xfId="2" applyNumberFormat="1" applyFont="1"/>
    <xf numFmtId="0" fontId="2" fillId="0" borderId="0" xfId="0" applyFont="1"/>
    <xf numFmtId="44" fontId="0" fillId="0" borderId="0" xfId="2" applyFont="1"/>
    <xf numFmtId="164" fontId="0" fillId="0" borderId="0" xfId="0" applyNumberFormat="1"/>
    <xf numFmtId="44" fontId="2" fillId="0" borderId="0" xfId="2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3" borderId="2" xfId="0" applyNumberFormat="1" applyFont="1" applyFill="1" applyBorder="1" applyProtection="1">
      <protection locked="0"/>
    </xf>
    <xf numFmtId="44" fontId="6" fillId="3" borderId="2" xfId="2" applyFont="1" applyFill="1" applyBorder="1" applyProtection="1">
      <protection locked="0"/>
    </xf>
    <xf numFmtId="9" fontId="6" fillId="3" borderId="2" xfId="1" applyFont="1" applyFill="1" applyBorder="1" applyProtection="1">
      <protection locked="0"/>
    </xf>
    <xf numFmtId="0" fontId="6" fillId="3" borderId="2" xfId="1" applyNumberFormat="1" applyFont="1" applyFill="1" applyBorder="1" applyProtection="1">
      <protection locked="0"/>
    </xf>
    <xf numFmtId="0" fontId="3" fillId="2" borderId="1" xfId="3" applyProtection="1"/>
    <xf numFmtId="164" fontId="7" fillId="4" borderId="2" xfId="0" applyNumberFormat="1" applyFont="1" applyFill="1" applyBorder="1" applyProtection="1"/>
    <xf numFmtId="44" fontId="7" fillId="4" borderId="2" xfId="2" applyFont="1" applyFill="1" applyBorder="1" applyProtection="1"/>
    <xf numFmtId="9" fontId="7" fillId="4" borderId="2" xfId="1" applyFont="1" applyFill="1" applyBorder="1" applyProtection="1"/>
    <xf numFmtId="0" fontId="3" fillId="2" borderId="5" xfId="3" applyBorder="1" applyAlignment="1" applyProtection="1">
      <alignment horizontal="left"/>
    </xf>
    <xf numFmtId="0" fontId="3" fillId="2" borderId="6" xfId="3" applyBorder="1" applyAlignment="1" applyProtection="1">
      <alignment horizontal="left"/>
    </xf>
    <xf numFmtId="0" fontId="3" fillId="2" borderId="7" xfId="3" applyBorder="1" applyAlignment="1" applyProtection="1">
      <alignment horizontal="left"/>
    </xf>
    <xf numFmtId="164" fontId="7" fillId="4" borderId="2" xfId="2" applyNumberFormat="1" applyFont="1" applyFill="1" applyBorder="1" applyProtection="1"/>
    <xf numFmtId="1" fontId="7" fillId="4" borderId="2" xfId="2" applyNumberFormat="1" applyFont="1" applyFill="1" applyBorder="1" applyProtection="1"/>
    <xf numFmtId="2" fontId="7" fillId="4" borderId="2" xfId="1" applyNumberFormat="1" applyFont="1" applyFill="1" applyBorder="1" applyProtection="1"/>
    <xf numFmtId="8" fontId="7" fillId="4" borderId="2" xfId="2" applyNumberFormat="1" applyFont="1" applyFill="1" applyBorder="1" applyProtection="1"/>
    <xf numFmtId="0" fontId="8" fillId="0" borderId="0" xfId="0" applyFont="1"/>
    <xf numFmtId="1" fontId="6" fillId="3" borderId="2" xfId="2" applyNumberFormat="1" applyFont="1" applyFill="1" applyBorder="1" applyProtection="1">
      <protection locked="0"/>
    </xf>
    <xf numFmtId="0" fontId="9" fillId="2" borderId="1" xfId="3" applyFont="1" applyProtection="1"/>
    <xf numFmtId="0" fontId="10" fillId="4" borderId="2" xfId="0" applyFont="1" applyFill="1" applyBorder="1" applyProtection="1"/>
    <xf numFmtId="9" fontId="10" fillId="4" borderId="2" xfId="1" applyFont="1" applyFill="1" applyBorder="1" applyProtection="1"/>
    <xf numFmtId="1" fontId="7" fillId="4" borderId="2" xfId="0" applyNumberFormat="1" applyFont="1" applyFill="1" applyBorder="1" applyProtection="1"/>
    <xf numFmtId="0" fontId="3" fillId="2" borderId="5" xfId="3" applyBorder="1" applyAlignment="1" applyProtection="1">
      <alignment horizontal="left"/>
    </xf>
    <xf numFmtId="0" fontId="3" fillId="2" borderId="6" xfId="3" applyBorder="1" applyAlignment="1" applyProtection="1">
      <alignment horizontal="left"/>
    </xf>
    <xf numFmtId="0" fontId="3" fillId="2" borderId="7" xfId="3" applyBorder="1" applyAlignment="1" applyProtection="1">
      <alignment horizontal="left"/>
    </xf>
    <xf numFmtId="44" fontId="7" fillId="4" borderId="2" xfId="2" applyFont="1" applyFill="1" applyBorder="1" applyAlignment="1" applyProtection="1">
      <alignment horizontal="center"/>
    </xf>
    <xf numFmtId="0" fontId="6" fillId="3" borderId="4" xfId="0" applyNumberFormat="1" applyFont="1" applyFill="1" applyBorder="1" applyAlignment="1" applyProtection="1">
      <alignment horizontal="right"/>
      <protection locked="0"/>
    </xf>
    <xf numFmtId="0" fontId="6" fillId="3" borderId="3" xfId="0" applyNumberFormat="1" applyFont="1" applyFill="1" applyBorder="1" applyAlignment="1" applyProtection="1">
      <alignment horizontal="right"/>
      <protection locked="0"/>
    </xf>
    <xf numFmtId="44" fontId="7" fillId="4" borderId="4" xfId="2" applyFont="1" applyFill="1" applyBorder="1" applyAlignment="1" applyProtection="1">
      <alignment horizontal="right"/>
    </xf>
    <xf numFmtId="44" fontId="7" fillId="4" borderId="3" xfId="2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3" fillId="2" borderId="2" xfId="3" applyBorder="1" applyAlignment="1" applyProtection="1">
      <alignment horizontal="center"/>
    </xf>
    <xf numFmtId="164" fontId="7" fillId="4" borderId="4" xfId="0" applyNumberFormat="1" applyFont="1" applyFill="1" applyBorder="1" applyAlignment="1" applyProtection="1">
      <alignment horizontal="right"/>
    </xf>
    <xf numFmtId="164" fontId="7" fillId="4" borderId="3" xfId="0" applyNumberFormat="1" applyFont="1" applyFill="1" applyBorder="1" applyAlignment="1" applyProtection="1">
      <alignment horizontal="right"/>
    </xf>
    <xf numFmtId="0" fontId="3" fillId="2" borderId="2" xfId="3" applyBorder="1" applyAlignment="1" applyProtection="1">
      <alignment horizontal="left"/>
    </xf>
    <xf numFmtId="0" fontId="3" fillId="2" borderId="8" xfId="3" applyBorder="1" applyAlignment="1" applyProtection="1">
      <alignment horizontal="left"/>
    </xf>
  </cellXfs>
  <cellStyles count="4">
    <cellStyle name="Monétaire" xfId="2" builtinId="4"/>
    <cellStyle name="Normal" xfId="0" builtinId="0"/>
    <cellStyle name="Pourcentage" xfId="1" builtinId="5"/>
    <cellStyle name="Sortie" xfId="3" builtinId="21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</xdr:row>
      <xdr:rowOff>0</xdr:rowOff>
    </xdr:from>
    <xdr:to>
      <xdr:col>1</xdr:col>
      <xdr:colOff>2425700</xdr:colOff>
      <xdr:row>5</xdr:row>
      <xdr:rowOff>168275</xdr:rowOff>
    </xdr:to>
    <xdr:pic>
      <xdr:nvPicPr>
        <xdr:cNvPr id="2" name="Image 1" descr="Club Biogaz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381000"/>
          <a:ext cx="2349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B1:U50"/>
  <sheetViews>
    <sheetView showZeros="0" tabSelected="1" topLeftCell="A8" zoomScale="75" zoomScaleNormal="75" workbookViewId="0">
      <selection activeCell="C11" sqref="C11"/>
    </sheetView>
  </sheetViews>
  <sheetFormatPr baseColWidth="10" defaultRowHeight="15"/>
  <cols>
    <col min="1" max="1" width="3" customWidth="1"/>
    <col min="2" max="2" width="56.28515625" bestFit="1" customWidth="1"/>
    <col min="3" max="3" width="15.5703125" bestFit="1" customWidth="1"/>
    <col min="4" max="8" width="14" bestFit="1" customWidth="1"/>
    <col min="9" max="10" width="14" customWidth="1"/>
    <col min="11" max="17" width="14" bestFit="1" customWidth="1"/>
  </cols>
  <sheetData>
    <row r="1" spans="2:16" ht="15" customHeight="1">
      <c r="B1" s="40" t="s">
        <v>9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2:16" ht="15" customHeight="1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2:16" ht="15.75">
      <c r="B3" s="41" t="s">
        <v>10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5" spans="2:16" ht="15.75">
      <c r="C5" s="26" t="s">
        <v>26</v>
      </c>
    </row>
    <row r="6" spans="2:16" ht="15.75">
      <c r="C6" s="26" t="s">
        <v>27</v>
      </c>
      <c r="G6" s="8"/>
      <c r="H6" s="5" t="b">
        <v>1</v>
      </c>
      <c r="I6" s="5"/>
      <c r="J6" s="5" t="b">
        <v>0</v>
      </c>
      <c r="K6" s="5" t="b">
        <v>1</v>
      </c>
      <c r="L6" s="5" t="b">
        <v>0</v>
      </c>
    </row>
    <row r="7" spans="2:16" ht="15.75">
      <c r="C7" s="26" t="s">
        <v>28</v>
      </c>
      <c r="G7" s="8"/>
      <c r="H7" s="5"/>
      <c r="I7" s="5"/>
      <c r="J7" s="5"/>
      <c r="K7" s="5"/>
      <c r="L7" s="5"/>
    </row>
    <row r="8" spans="2:16">
      <c r="G8" s="8"/>
      <c r="H8" s="5"/>
      <c r="I8" s="5"/>
      <c r="J8" s="5"/>
      <c r="K8" s="5"/>
      <c r="L8" s="5"/>
    </row>
    <row r="9" spans="2:16">
      <c r="K9" s="5"/>
      <c r="L9" s="5"/>
    </row>
    <row r="10" spans="2:16">
      <c r="G10" s="8"/>
      <c r="H10" s="5"/>
      <c r="I10" s="5"/>
      <c r="J10" s="5"/>
    </row>
    <row r="11" spans="2:16" ht="15" customHeight="1">
      <c r="B11" s="15" t="s">
        <v>29</v>
      </c>
      <c r="C11" s="11" t="s">
        <v>26</v>
      </c>
      <c r="H11" s="5" t="b">
        <v>0</v>
      </c>
      <c r="I11" s="5" t="b">
        <v>0</v>
      </c>
      <c r="J11" s="5" t="b">
        <v>0</v>
      </c>
    </row>
    <row r="12" spans="2:16">
      <c r="D12" s="6"/>
      <c r="E12" s="32" t="s">
        <v>15</v>
      </c>
      <c r="F12" s="33"/>
      <c r="G12" s="34"/>
      <c r="H12" s="42" t="s">
        <v>21</v>
      </c>
      <c r="I12" s="42"/>
      <c r="J12" s="42" t="s">
        <v>19</v>
      </c>
      <c r="K12" s="42"/>
      <c r="L12" s="42" t="s">
        <v>20</v>
      </c>
      <c r="M12" s="42"/>
      <c r="N12" s="15" t="s">
        <v>17</v>
      </c>
    </row>
    <row r="13" spans="2:16">
      <c r="B13" s="15" t="s">
        <v>0</v>
      </c>
      <c r="C13" s="11">
        <v>170</v>
      </c>
      <c r="E13" s="32" t="s">
        <v>16</v>
      </c>
      <c r="F13" s="33"/>
      <c r="G13" s="34"/>
      <c r="H13" s="43">
        <f>IF(H6=TRUE,(IF(zone="Ouest",0.81*195,IF(zone="Est",0.81*195*1.15,0.81*195*0.85))),0)</f>
        <v>157.95000000000002</v>
      </c>
      <c r="I13" s="44"/>
      <c r="J13" s="43">
        <f>IF(J6=TRUE,IF(zone="Ouest",0.8*319,IF(zone="Est",0.8*319*1.15,0.8*319*0.85)),0)</f>
        <v>0</v>
      </c>
      <c r="K13" s="44"/>
      <c r="L13" s="43">
        <f>IF(L6=TRUE,IF(zone="Ouest",237*2/100,IF(zone="Est",237*2/100*1.15,237*2/100*0.85)),0)</f>
        <v>0</v>
      </c>
      <c r="M13" s="44"/>
      <c r="N13" s="22">
        <f>SUM(H13:L13)</f>
        <v>157.95000000000002</v>
      </c>
    </row>
    <row r="14" spans="2:16">
      <c r="B14" s="15" t="s">
        <v>18</v>
      </c>
      <c r="C14" s="12">
        <f>8/100</f>
        <v>0.08</v>
      </c>
      <c r="E14" s="32" t="s">
        <v>12</v>
      </c>
      <c r="F14" s="33"/>
      <c r="G14" s="34"/>
      <c r="H14" s="43">
        <f>H13*$C$13</f>
        <v>26851.500000000004</v>
      </c>
      <c r="I14" s="44"/>
      <c r="J14" s="43">
        <f>J13*$C$13</f>
        <v>0</v>
      </c>
      <c r="K14" s="44"/>
      <c r="L14" s="43">
        <f>L13*$C$13</f>
        <v>0</v>
      </c>
      <c r="M14" s="44"/>
      <c r="N14" s="22">
        <f>SUM(H14:L14)</f>
        <v>26851.500000000004</v>
      </c>
    </row>
    <row r="15" spans="2:16">
      <c r="D15" s="6"/>
      <c r="E15" s="32" t="s">
        <v>11</v>
      </c>
      <c r="F15" s="33"/>
      <c r="G15" s="34"/>
      <c r="H15" s="35">
        <f>$C$14*H14</f>
        <v>2148.1200000000003</v>
      </c>
      <c r="I15" s="35"/>
      <c r="J15" s="35">
        <f>$C$14*J14</f>
        <v>0</v>
      </c>
      <c r="K15" s="35"/>
      <c r="L15" s="35">
        <f>$C$14*L14</f>
        <v>0</v>
      </c>
      <c r="M15" s="35"/>
      <c r="N15" s="17">
        <f>$C$14*N14</f>
        <v>2148.1200000000003</v>
      </c>
    </row>
    <row r="16" spans="2:16">
      <c r="B16" s="15" t="s">
        <v>24</v>
      </c>
      <c r="C16" s="12">
        <v>200</v>
      </c>
      <c r="E16" s="9"/>
      <c r="F16" s="9"/>
      <c r="G16" s="9"/>
      <c r="H16" s="10"/>
      <c r="I16" s="10"/>
      <c r="J16" s="10"/>
      <c r="K16" s="10"/>
      <c r="L16" s="10"/>
      <c r="M16" s="10"/>
    </row>
    <row r="17" spans="2:21">
      <c r="B17" s="15" t="s">
        <v>25</v>
      </c>
      <c r="C17" s="12">
        <v>20</v>
      </c>
      <c r="E17" s="32" t="s">
        <v>23</v>
      </c>
      <c r="F17" s="33"/>
      <c r="G17" s="34"/>
      <c r="H17" s="36">
        <f>IF(H6=TRUE,ROUNDUP(0.24*C13,0),0)</f>
        <v>41</v>
      </c>
      <c r="I17" s="37"/>
      <c r="J17" s="36">
        <f>IF(J6=TRUE,ROUNDUP(3.6*C13,0),0)</f>
        <v>0</v>
      </c>
      <c r="K17" s="37"/>
      <c r="L17" s="36">
        <f>IF(L6=TRUE,6*C13,0)</f>
        <v>0</v>
      </c>
      <c r="M17" s="37"/>
      <c r="N17" s="23">
        <f>SUM(H17:L17)</f>
        <v>41</v>
      </c>
    </row>
    <row r="18" spans="2:21">
      <c r="B18" s="15" t="s">
        <v>1</v>
      </c>
      <c r="C18" s="14">
        <v>100</v>
      </c>
      <c r="E18" s="32" t="s">
        <v>14</v>
      </c>
      <c r="F18" s="33"/>
      <c r="G18" s="34"/>
      <c r="H18" s="38">
        <f>$C$16*H17</f>
        <v>8200</v>
      </c>
      <c r="I18" s="39"/>
      <c r="J18" s="38">
        <f>$C$17*J17</f>
        <v>0</v>
      </c>
      <c r="K18" s="39"/>
      <c r="L18" s="38">
        <f>$C$17*L17</f>
        <v>0</v>
      </c>
      <c r="M18" s="39"/>
      <c r="N18" s="17">
        <f>SUM(H18:L18)</f>
        <v>8200</v>
      </c>
    </row>
    <row r="19" spans="2:21">
      <c r="B19" s="15" t="s">
        <v>8</v>
      </c>
      <c r="C19" s="12">
        <v>180</v>
      </c>
    </row>
    <row r="20" spans="2:21">
      <c r="E20" s="32" t="s">
        <v>13</v>
      </c>
      <c r="F20" s="33"/>
      <c r="G20" s="34"/>
      <c r="H20" s="17">
        <f>C19*C18</f>
        <v>18000</v>
      </c>
      <c r="I20" s="10"/>
      <c r="J20" s="9"/>
    </row>
    <row r="21" spans="2:21">
      <c r="B21" s="15" t="s">
        <v>7</v>
      </c>
      <c r="C21" s="13">
        <v>0.09</v>
      </c>
    </row>
    <row r="22" spans="2:21">
      <c r="B22" s="15" t="s">
        <v>3</v>
      </c>
      <c r="C22" s="13">
        <v>0.08</v>
      </c>
      <c r="D22" s="3"/>
      <c r="E22" s="19" t="s">
        <v>2</v>
      </c>
      <c r="F22" s="20"/>
      <c r="G22" s="21"/>
      <c r="H22" s="17">
        <f>H20+N18</f>
        <v>26200</v>
      </c>
      <c r="I22" s="10"/>
      <c r="J22" s="9"/>
    </row>
    <row r="23" spans="2:21">
      <c r="D23" s="7"/>
      <c r="H23" s="3"/>
      <c r="I23" s="3"/>
      <c r="J23" s="3"/>
    </row>
    <row r="24" spans="2:21" ht="15" customHeight="1">
      <c r="B24" s="15" t="s">
        <v>4</v>
      </c>
      <c r="C24" s="15">
        <v>1</v>
      </c>
      <c r="D24" s="15">
        <f>C24+1</f>
        <v>2</v>
      </c>
      <c r="E24" s="15">
        <f t="shared" ref="E24:Q24" si="0">D24+1</f>
        <v>3</v>
      </c>
      <c r="F24" s="15">
        <f t="shared" si="0"/>
        <v>4</v>
      </c>
      <c r="G24" s="15">
        <f>F24+1</f>
        <v>5</v>
      </c>
      <c r="H24" s="15">
        <f t="shared" si="0"/>
        <v>6</v>
      </c>
      <c r="I24" s="15">
        <f>H24+1</f>
        <v>7</v>
      </c>
      <c r="J24" s="15">
        <f>I24+1</f>
        <v>8</v>
      </c>
      <c r="K24" s="15">
        <f t="shared" si="0"/>
        <v>9</v>
      </c>
      <c r="L24" s="15">
        <f>K24+1</f>
        <v>10</v>
      </c>
      <c r="M24" s="15">
        <f t="shared" si="0"/>
        <v>11</v>
      </c>
      <c r="N24" s="15">
        <f t="shared" si="0"/>
        <v>12</v>
      </c>
      <c r="O24" s="15">
        <f t="shared" si="0"/>
        <v>13</v>
      </c>
      <c r="P24" s="15">
        <f t="shared" si="0"/>
        <v>14</v>
      </c>
      <c r="Q24" s="15">
        <f t="shared" si="0"/>
        <v>15</v>
      </c>
    </row>
    <row r="25" spans="2:21">
      <c r="B25" s="15" t="s">
        <v>40</v>
      </c>
      <c r="C25" s="17">
        <f>-H22</f>
        <v>-26200</v>
      </c>
      <c r="D25" s="17">
        <f t="shared" ref="D25:Q25" si="1">$N$15*(1+$C$21)^(D24-1)</f>
        <v>2341.4508000000005</v>
      </c>
      <c r="E25" s="17">
        <f t="shared" si="1"/>
        <v>2552.1813720000009</v>
      </c>
      <c r="F25" s="17">
        <f t="shared" si="1"/>
        <v>2781.877695480001</v>
      </c>
      <c r="G25" s="17">
        <f>$N$15*(1+$C$21)^(G24-1)</f>
        <v>3032.2466880732009</v>
      </c>
      <c r="H25" s="17">
        <f t="shared" si="1"/>
        <v>3305.1488899997894</v>
      </c>
      <c r="I25" s="17">
        <f t="shared" si="1"/>
        <v>3602.6122900997707</v>
      </c>
      <c r="J25" s="17">
        <f t="shared" si="1"/>
        <v>3926.8473962087501</v>
      </c>
      <c r="K25" s="17">
        <f t="shared" si="1"/>
        <v>4280.2636618675378</v>
      </c>
      <c r="L25" s="17">
        <f t="shared" si="1"/>
        <v>4665.4873914356167</v>
      </c>
      <c r="M25" s="17">
        <f t="shared" si="1"/>
        <v>5085.381256664823</v>
      </c>
      <c r="N25" s="17">
        <f t="shared" si="1"/>
        <v>5543.0655697646571</v>
      </c>
      <c r="O25" s="17">
        <f t="shared" si="1"/>
        <v>6041.9414710434758</v>
      </c>
      <c r="P25" s="17">
        <f t="shared" si="1"/>
        <v>6585.7162034373896</v>
      </c>
      <c r="Q25" s="17">
        <f t="shared" si="1"/>
        <v>7178.4306617467555</v>
      </c>
      <c r="R25" s="6"/>
      <c r="S25" s="6"/>
      <c r="T25" s="6"/>
      <c r="U25" s="6"/>
    </row>
    <row r="26" spans="2:21">
      <c r="B26" s="15" t="s">
        <v>44</v>
      </c>
      <c r="C26" s="17">
        <f>C25</f>
        <v>-26200</v>
      </c>
      <c r="D26" s="17">
        <f>C26+D25</f>
        <v>-23858.549200000001</v>
      </c>
      <c r="E26" s="17">
        <f t="shared" ref="E26:Q26" si="2">D26+E25</f>
        <v>-21306.367828000002</v>
      </c>
      <c r="F26" s="17">
        <f t="shared" si="2"/>
        <v>-18524.490132520001</v>
      </c>
      <c r="G26" s="17">
        <f t="shared" si="2"/>
        <v>-15492.2434444468</v>
      </c>
      <c r="H26" s="17">
        <f t="shared" si="2"/>
        <v>-12187.094554447011</v>
      </c>
      <c r="I26" s="17">
        <f t="shared" si="2"/>
        <v>-8584.4822643472398</v>
      </c>
      <c r="J26" s="17">
        <f t="shared" si="2"/>
        <v>-4657.6348681384898</v>
      </c>
      <c r="K26" s="17">
        <f t="shared" si="2"/>
        <v>-377.37120627095192</v>
      </c>
      <c r="L26" s="17">
        <f t="shared" si="2"/>
        <v>4288.1161851646648</v>
      </c>
      <c r="M26" s="17">
        <f t="shared" si="2"/>
        <v>9373.4974418294878</v>
      </c>
      <c r="N26" s="17">
        <f t="shared" si="2"/>
        <v>14916.563011594146</v>
      </c>
      <c r="O26" s="17">
        <f t="shared" si="2"/>
        <v>20958.504482637622</v>
      </c>
      <c r="P26" s="17">
        <f t="shared" si="2"/>
        <v>27544.220686075012</v>
      </c>
      <c r="Q26" s="17">
        <f t="shared" si="2"/>
        <v>34722.651347821768</v>
      </c>
      <c r="R26" s="6"/>
      <c r="S26" s="6"/>
      <c r="T26" s="6"/>
      <c r="U26" s="6"/>
    </row>
    <row r="28" spans="2:21">
      <c r="B28" s="15" t="s">
        <v>5</v>
      </c>
      <c r="C28" s="18">
        <f>IRR(C25:Q25)</f>
        <v>0.11064894392858289</v>
      </c>
      <c r="D28" s="1"/>
      <c r="E28" s="45" t="s">
        <v>45</v>
      </c>
      <c r="F28" s="45"/>
      <c r="G28" s="45"/>
      <c r="H28" s="16">
        <f>H22/N15</f>
        <v>12.19671154311677</v>
      </c>
    </row>
    <row r="29" spans="2:21">
      <c r="B29" s="15" t="s">
        <v>6</v>
      </c>
      <c r="C29" s="25">
        <f>NPV(C22,C25:Q25)</f>
        <v>5600.2793066838112</v>
      </c>
      <c r="D29" s="2"/>
      <c r="E29" s="45" t="s">
        <v>46</v>
      </c>
      <c r="F29" s="45"/>
      <c r="G29" s="45"/>
      <c r="H29" s="31">
        <f>IF(C26&gt;0,1,IF(D26&gt;0,2,IF(E26&gt;0,3,IF(F26&gt;0,4,IF(G26&gt;0,5,IF(H26&gt;0,6,IF(I26&gt;0,7,IF(J26&gt;0,8,IF(K26&gt;0,9,IF(L26&gt;0,10,IF(M26&gt;0,11,IF(N26&gt;0,12,IF(O26&gt;0,13,IF(P26&gt;0,14,IF(Q26&gt;0,15,"&gt;15")))))))))))))))</f>
        <v>10</v>
      </c>
    </row>
    <row r="30" spans="2:21">
      <c r="B30" s="15" t="s">
        <v>22</v>
      </c>
      <c r="C30" s="24">
        <f>C29/H22</f>
        <v>0.21375111857571799</v>
      </c>
      <c r="D30" s="4"/>
    </row>
    <row r="31" spans="2:21">
      <c r="C31" s="3"/>
      <c r="D31" s="3"/>
    </row>
    <row r="32" spans="2:21">
      <c r="B32" s="15" t="s">
        <v>31</v>
      </c>
      <c r="C32" s="11">
        <v>150</v>
      </c>
    </row>
    <row r="33" spans="2:21">
      <c r="B33" s="15" t="s">
        <v>30</v>
      </c>
      <c r="C33" s="13">
        <v>0.42</v>
      </c>
    </row>
    <row r="34" spans="2:21">
      <c r="B34" s="15" t="s">
        <v>32</v>
      </c>
      <c r="C34" s="13">
        <v>0.5</v>
      </c>
    </row>
    <row r="35" spans="2:21">
      <c r="B35" s="15" t="s">
        <v>33</v>
      </c>
      <c r="C35" s="27">
        <f>C32*8000/C33*5/100</f>
        <v>142857.14285714287</v>
      </c>
    </row>
    <row r="36" spans="2:21">
      <c r="B36" s="15" t="s">
        <v>34</v>
      </c>
      <c r="C36" s="23">
        <f>C32*8000*C34/C33-C35</f>
        <v>1285714.2857142857</v>
      </c>
    </row>
    <row r="37" spans="2:21">
      <c r="B37" s="15" t="s">
        <v>35</v>
      </c>
      <c r="C37" s="23">
        <f>C36-N14</f>
        <v>1258862.7857142857</v>
      </c>
    </row>
    <row r="39" spans="2:21">
      <c r="C39" s="28" t="s">
        <v>39</v>
      </c>
      <c r="D39" s="28" t="s">
        <v>36</v>
      </c>
    </row>
    <row r="40" spans="2:21">
      <c r="B40" s="15" t="s">
        <v>37</v>
      </c>
      <c r="C40" s="30">
        <f>(C37+C32*C33*8000)/(C32/C33*8000)</f>
        <v>0.61700197499999998</v>
      </c>
      <c r="D40" s="29">
        <f>ROUND(IF(C40&lt;=0.35,0,IF(C40&lt;0.7,4/(0.7-0.35)*(C40-0.35),4)),3)</f>
        <v>3.0510000000000002</v>
      </c>
      <c r="F40" s="32" t="s">
        <v>41</v>
      </c>
      <c r="G40" s="46"/>
      <c r="H40" s="13">
        <v>0.02</v>
      </c>
    </row>
    <row r="41" spans="2:21">
      <c r="B41" s="15" t="s">
        <v>38</v>
      </c>
      <c r="C41" s="30">
        <f>(C36+C32*C33*8000)/(C32/C33*8000)</f>
        <v>0.62639999999999996</v>
      </c>
      <c r="D41" s="29">
        <f>ROUND(IF(C41&lt;=0.35,0,IF(C41&lt;0.7,4/(0.7-0.35)*(C41-0.35),4)),3)</f>
        <v>3.1589999999999998</v>
      </c>
    </row>
    <row r="43" spans="2:21" ht="15" customHeight="1">
      <c r="B43" s="15" t="s">
        <v>4</v>
      </c>
      <c r="C43" s="15">
        <v>1</v>
      </c>
      <c r="D43" s="15">
        <f>C43+1</f>
        <v>2</v>
      </c>
      <c r="E43" s="15">
        <f t="shared" ref="E43" si="3">D43+1</f>
        <v>3</v>
      </c>
      <c r="F43" s="15">
        <f t="shared" ref="F43" si="4">E43+1</f>
        <v>4</v>
      </c>
      <c r="G43" s="15">
        <f>F43+1</f>
        <v>5</v>
      </c>
      <c r="H43" s="15">
        <f t="shared" ref="H43" si="5">G43+1</f>
        <v>6</v>
      </c>
      <c r="I43" s="15">
        <f>H43+1</f>
        <v>7</v>
      </c>
      <c r="J43" s="15">
        <f>I43+1</f>
        <v>8</v>
      </c>
      <c r="K43" s="15">
        <f t="shared" ref="K43" si="6">J43+1</f>
        <v>9</v>
      </c>
      <c r="L43" s="15">
        <f>K43+1</f>
        <v>10</v>
      </c>
      <c r="M43" s="15">
        <f t="shared" ref="M43" si="7">L43+1</f>
        <v>11</v>
      </c>
      <c r="N43" s="15">
        <f t="shared" ref="N43" si="8">M43+1</f>
        <v>12</v>
      </c>
      <c r="O43" s="15">
        <f t="shared" ref="O43" si="9">N43+1</f>
        <v>13</v>
      </c>
      <c r="P43" s="15">
        <f t="shared" ref="P43" si="10">O43+1</f>
        <v>14</v>
      </c>
      <c r="Q43" s="15">
        <f t="shared" ref="Q43" si="11">P43+1</f>
        <v>15</v>
      </c>
    </row>
    <row r="44" spans="2:21">
      <c r="B44" s="15" t="s">
        <v>43</v>
      </c>
      <c r="C44" s="17"/>
      <c r="D44" s="17">
        <f>8000*C32*(D41-D40)/100</f>
        <v>1295.9999999999957</v>
      </c>
      <c r="E44" s="17">
        <f>$D44*(1+$H$40)^(D43-1)</f>
        <v>1321.9199999999955</v>
      </c>
      <c r="F44" s="17">
        <f t="shared" ref="F44:Q44" si="12">$D44*(1+$H$40)^(E43-1)</f>
        <v>1348.3583999999955</v>
      </c>
      <c r="G44" s="17">
        <f t="shared" si="12"/>
        <v>1375.3255679999954</v>
      </c>
      <c r="H44" s="17">
        <f t="shared" si="12"/>
        <v>1402.8320793599953</v>
      </c>
      <c r="I44" s="17">
        <f t="shared" si="12"/>
        <v>1430.8887209471952</v>
      </c>
      <c r="J44" s="17">
        <f t="shared" si="12"/>
        <v>1459.5064953661392</v>
      </c>
      <c r="K44" s="17">
        <f t="shared" si="12"/>
        <v>1488.6966252734617</v>
      </c>
      <c r="L44" s="17">
        <f t="shared" si="12"/>
        <v>1518.4705577789312</v>
      </c>
      <c r="M44" s="17">
        <f t="shared" si="12"/>
        <v>1548.8399689345097</v>
      </c>
      <c r="N44" s="17">
        <f t="shared" si="12"/>
        <v>1579.8167683131999</v>
      </c>
      <c r="O44" s="17">
        <f t="shared" si="12"/>
        <v>1611.4131036794636</v>
      </c>
      <c r="P44" s="17">
        <f t="shared" si="12"/>
        <v>1643.6413657530532</v>
      </c>
      <c r="Q44" s="17">
        <f t="shared" si="12"/>
        <v>1676.5141930681141</v>
      </c>
      <c r="R44" s="6"/>
      <c r="S44" s="6"/>
      <c r="T44" s="6"/>
      <c r="U44" s="6"/>
    </row>
    <row r="45" spans="2:21">
      <c r="B45" s="15" t="s">
        <v>42</v>
      </c>
      <c r="C45" s="17">
        <f>C25-C44</f>
        <v>-26200</v>
      </c>
      <c r="D45" s="17">
        <f t="shared" ref="D45:Q45" si="13">D25-D44</f>
        <v>1045.4508000000048</v>
      </c>
      <c r="E45" s="17">
        <f t="shared" si="13"/>
        <v>1230.2613720000054</v>
      </c>
      <c r="F45" s="17">
        <f t="shared" si="13"/>
        <v>1433.5192954800054</v>
      </c>
      <c r="G45" s="17">
        <f t="shared" si="13"/>
        <v>1656.9211200732054</v>
      </c>
      <c r="H45" s="17">
        <f t="shared" si="13"/>
        <v>1902.3168106397941</v>
      </c>
      <c r="I45" s="17">
        <f t="shared" si="13"/>
        <v>2171.7235691525757</v>
      </c>
      <c r="J45" s="17">
        <f t="shared" si="13"/>
        <v>2467.3409008426106</v>
      </c>
      <c r="K45" s="17">
        <f t="shared" si="13"/>
        <v>2791.5670365940759</v>
      </c>
      <c r="L45" s="17">
        <f t="shared" si="13"/>
        <v>3147.0168336566858</v>
      </c>
      <c r="M45" s="17">
        <f t="shared" si="13"/>
        <v>3536.5412877303133</v>
      </c>
      <c r="N45" s="17">
        <f t="shared" si="13"/>
        <v>3963.2488014514574</v>
      </c>
      <c r="O45" s="17">
        <f t="shared" si="13"/>
        <v>4430.5283673640124</v>
      </c>
      <c r="P45" s="17">
        <f t="shared" si="13"/>
        <v>4942.0748376843367</v>
      </c>
      <c r="Q45" s="17">
        <f t="shared" si="13"/>
        <v>5501.9164686786416</v>
      </c>
      <c r="R45" s="6"/>
      <c r="S45" s="6"/>
      <c r="T45" s="6"/>
      <c r="U45" s="6"/>
    </row>
    <row r="46" spans="2:21">
      <c r="B46" s="15" t="s">
        <v>44</v>
      </c>
      <c r="C46" s="17">
        <f>C45</f>
        <v>-26200</v>
      </c>
      <c r="D46" s="17">
        <f>C46+D45</f>
        <v>-25154.549199999994</v>
      </c>
      <c r="E46" s="17">
        <f>D46+E45</f>
        <v>-23924.28782799999</v>
      </c>
      <c r="F46" s="17">
        <f t="shared" ref="F46" si="14">E46+F45</f>
        <v>-22490.768532519985</v>
      </c>
      <c r="G46" s="17">
        <f t="shared" ref="G46" si="15">F46+G45</f>
        <v>-20833.847412446779</v>
      </c>
      <c r="H46" s="17">
        <f t="shared" ref="H46" si="16">G46+H45</f>
        <v>-18931.530601806986</v>
      </c>
      <c r="I46" s="17">
        <f t="shared" ref="I46" si="17">H46+I45</f>
        <v>-16759.807032654411</v>
      </c>
      <c r="J46" s="17">
        <f t="shared" ref="J46" si="18">I46+J45</f>
        <v>-14292.466131811801</v>
      </c>
      <c r="K46" s="17">
        <f t="shared" ref="K46" si="19">J46+K45</f>
        <v>-11500.899095217726</v>
      </c>
      <c r="L46" s="17">
        <f t="shared" ref="L46" si="20">K46+L45</f>
        <v>-8353.8822615610407</v>
      </c>
      <c r="M46" s="17">
        <f t="shared" ref="M46" si="21">L46+M45</f>
        <v>-4817.3409738307273</v>
      </c>
      <c r="N46" s="17">
        <f t="shared" ref="N46" si="22">M46+N45</f>
        <v>-854.09217237926987</v>
      </c>
      <c r="O46" s="17">
        <f t="shared" ref="O46" si="23">N46+O45</f>
        <v>3576.4361949847425</v>
      </c>
      <c r="P46" s="17">
        <f t="shared" ref="P46" si="24">O46+P45</f>
        <v>8518.5110326690792</v>
      </c>
      <c r="Q46" s="17">
        <f t="shared" ref="Q46" si="25">P46+Q45</f>
        <v>14020.42750134772</v>
      </c>
      <c r="R46" s="6"/>
      <c r="S46" s="6"/>
      <c r="T46" s="6"/>
      <c r="U46" s="6"/>
    </row>
    <row r="48" spans="2:21">
      <c r="B48" s="15" t="s">
        <v>5</v>
      </c>
      <c r="C48" s="18">
        <f>IRR(C45:Q45)</f>
        <v>4.8384796490054047E-2</v>
      </c>
      <c r="D48" s="1"/>
      <c r="E48" s="45" t="s">
        <v>45</v>
      </c>
      <c r="F48" s="45"/>
      <c r="G48" s="45"/>
      <c r="H48" s="16">
        <f>H22/(N15-D44)</f>
        <v>30.746843167628803</v>
      </c>
    </row>
    <row r="49" spans="2:8">
      <c r="B49" s="15" t="s">
        <v>6</v>
      </c>
      <c r="C49" s="25">
        <f>NPV(C22,C45:Q45)</f>
        <v>-5415.0984187369149</v>
      </c>
      <c r="D49" s="2"/>
      <c r="E49" s="45" t="s">
        <v>46</v>
      </c>
      <c r="F49" s="45"/>
      <c r="G49" s="45"/>
      <c r="H49" s="31">
        <f>IF(C46&gt;0,1,IF(D46&gt;0,2,IF(E46&gt;0,3,IF(F46&gt;0,4,IF(G46&gt;0,5,IF(H46&gt;0,6,IF(I46&gt;0,7,IF(J46&gt;0,8,IF(K46&gt;0,9,IF(L46&gt;0,10,IF(M46&gt;0,11,IF(N46&gt;0,12,IF(O46&gt;0,13,IF(P46&gt;0,14,IF(Q46&gt;0,15,"&gt;15")))))))))))))))</f>
        <v>13</v>
      </c>
    </row>
    <row r="50" spans="2:8">
      <c r="B50" s="15" t="s">
        <v>22</v>
      </c>
      <c r="C50" s="24">
        <f>C49/(-C26)</f>
        <v>-0.20668314575331737</v>
      </c>
      <c r="D50" s="4"/>
    </row>
  </sheetData>
  <mergeCells count="32">
    <mergeCell ref="E28:G28"/>
    <mergeCell ref="E29:G29"/>
    <mergeCell ref="E48:G48"/>
    <mergeCell ref="E49:G49"/>
    <mergeCell ref="F40:G40"/>
    <mergeCell ref="B1:P2"/>
    <mergeCell ref="B3:P3"/>
    <mergeCell ref="H12:I12"/>
    <mergeCell ref="H13:I13"/>
    <mergeCell ref="H14:I14"/>
    <mergeCell ref="L12:M12"/>
    <mergeCell ref="E12:G12"/>
    <mergeCell ref="E13:G13"/>
    <mergeCell ref="E14:G14"/>
    <mergeCell ref="J12:K12"/>
    <mergeCell ref="J13:K13"/>
    <mergeCell ref="J14:K14"/>
    <mergeCell ref="L13:M13"/>
    <mergeCell ref="L14:M14"/>
    <mergeCell ref="E17:G17"/>
    <mergeCell ref="L15:M15"/>
    <mergeCell ref="L17:M17"/>
    <mergeCell ref="L18:M18"/>
    <mergeCell ref="E20:G20"/>
    <mergeCell ref="E15:G15"/>
    <mergeCell ref="E18:G18"/>
    <mergeCell ref="J15:K15"/>
    <mergeCell ref="H15:I15"/>
    <mergeCell ref="H17:I17"/>
    <mergeCell ref="H18:I18"/>
    <mergeCell ref="J18:K18"/>
    <mergeCell ref="J17:K17"/>
  </mergeCells>
  <conditionalFormatting sqref="C29 C49">
    <cfRule type="cellIs" dxfId="3" priority="8" operator="lessThan">
      <formula>0</formula>
    </cfRule>
  </conditionalFormatting>
  <conditionalFormatting sqref="C30 C50">
    <cfRule type="cellIs" dxfId="2" priority="6" operator="lessThan">
      <formula>0.3</formula>
    </cfRule>
    <cfRule type="cellIs" dxfId="1" priority="7" operator="lessThan">
      <formula>0</formula>
    </cfRule>
  </conditionalFormatting>
  <conditionalFormatting sqref="C28 C48">
    <cfRule type="cellIs" dxfId="0" priority="15" operator="lessThan">
      <formula>$C$22</formula>
    </cfRule>
  </conditionalFormatting>
  <dataValidations count="1">
    <dataValidation type="list" allowBlank="1" showInputMessage="1" showErrorMessage="1" sqref="C11">
      <formula1>Région</formula1>
    </dataValidation>
  </dataValidations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Région</vt:lpstr>
      <vt:lpstr>zone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ANGELI</dc:creator>
  <cp:lastModifiedBy>Nicolas ANGELI</cp:lastModifiedBy>
  <dcterms:created xsi:type="dcterms:W3CDTF">2012-01-24T13:37:06Z</dcterms:created>
  <dcterms:modified xsi:type="dcterms:W3CDTF">2012-07-17T10:19:31Z</dcterms:modified>
</cp:coreProperties>
</file>