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105" windowWidth="20730" windowHeight="9915"/>
  </bookViews>
  <sheets>
    <sheet name="Feuil1" sheetId="1" r:id="rId1"/>
    <sheet name="Feuil3" sheetId="3" r:id="rId2"/>
    <sheet name="Feuil2" sheetId="2" r:id="rId3"/>
  </sheets>
  <definedNames>
    <definedName name="kg_h">Feuil1!$J$12:$J$16</definedName>
    <definedName name="Q1_">Feuil1!$J$12:$J$16</definedName>
    <definedName name="unité">Feuil1!$J$12:$J$16</definedName>
  </definedNames>
  <calcPr calcId="145621"/>
</workbook>
</file>

<file path=xl/calcChain.xml><?xml version="1.0" encoding="utf-8"?>
<calcChain xmlns="http://schemas.openxmlformats.org/spreadsheetml/2006/main">
  <c r="B82" i="1" l="1"/>
  <c r="B78" i="1"/>
  <c r="B77" i="1"/>
  <c r="B76" i="1"/>
  <c r="B75" i="1"/>
  <c r="B70" i="1"/>
  <c r="B69" i="1"/>
  <c r="B67" i="1"/>
  <c r="B65" i="1"/>
  <c r="B64" i="1"/>
  <c r="B63" i="1"/>
  <c r="D62" i="1"/>
  <c r="B62" i="1"/>
  <c r="B25" i="1"/>
  <c r="D48" i="1"/>
  <c r="D61" i="1"/>
  <c r="B61" i="1"/>
  <c r="F52" i="1"/>
  <c r="B52" i="1"/>
  <c r="B55" i="1"/>
  <c r="B54" i="1"/>
  <c r="B48" i="1"/>
  <c r="B47" i="1"/>
  <c r="B45" i="1"/>
  <c r="B44" i="1"/>
  <c r="B39" i="1"/>
  <c r="B37" i="1"/>
  <c r="D36" i="1"/>
  <c r="B36" i="1"/>
  <c r="B33" i="1"/>
  <c r="D14" i="1"/>
  <c r="B14" i="1"/>
  <c r="B15" i="1"/>
  <c r="B16" i="1"/>
  <c r="B51" i="1"/>
  <c r="B50" i="1"/>
  <c r="D16" i="1"/>
  <c r="D15" i="1" s="1"/>
  <c r="D12" i="1"/>
  <c r="E43" i="1" l="1"/>
  <c r="D46" i="1" s="1"/>
  <c r="E24" i="1"/>
  <c r="D63" i="1"/>
  <c r="D64" i="1" l="1"/>
  <c r="D65" i="1" s="1"/>
  <c r="C43" i="1"/>
  <c r="B46" i="1" s="1"/>
  <c r="B24" i="1"/>
  <c r="D76" i="1"/>
  <c r="B56" i="1" l="1"/>
  <c r="D39" i="1" l="1"/>
  <c r="C32" i="1"/>
  <c r="E25" i="1"/>
  <c r="D77" i="1" s="1"/>
  <c r="D75" i="1" s="1"/>
  <c r="E23" i="2"/>
  <c r="E24" i="2"/>
  <c r="E25" i="2"/>
  <c r="E26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5" i="2"/>
  <c r="B6" i="2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D37" i="1"/>
  <c r="F43" i="1" l="1"/>
  <c r="D78" i="1" l="1"/>
  <c r="E44" i="1"/>
  <c r="F42" i="1"/>
  <c r="D45" i="1"/>
  <c r="D47" i="1"/>
  <c r="D44" i="1"/>
  <c r="C44" i="1"/>
</calcChain>
</file>

<file path=xl/sharedStrings.xml><?xml version="1.0" encoding="utf-8"?>
<sst xmlns="http://schemas.openxmlformats.org/spreadsheetml/2006/main" count="169" uniqueCount="107">
  <si>
    <t>Echangeur à tube concentrique à contre courant</t>
  </si>
  <si>
    <t>Pa</t>
  </si>
  <si>
    <t>m</t>
  </si>
  <si>
    <t>kg/h</t>
  </si>
  <si>
    <t>W</t>
  </si>
  <si>
    <t>m/s</t>
  </si>
  <si>
    <t>Facteur de dimensionnement</t>
  </si>
  <si>
    <t>J/kg/°C</t>
  </si>
  <si>
    <t>°C</t>
  </si>
  <si>
    <t>Diamètre extérieur</t>
  </si>
  <si>
    <t>Diamètre intérieur</t>
  </si>
  <si>
    <t>Epaisseur</t>
  </si>
  <si>
    <t>Diamètre équivalent pour le transfert de chaleur</t>
  </si>
  <si>
    <t>Flux massique par unité de surface</t>
  </si>
  <si>
    <t>Tube externe</t>
  </si>
  <si>
    <t>Tube interne</t>
  </si>
  <si>
    <t>W/m/°C</t>
  </si>
  <si>
    <t>Conductivité thermique du tube</t>
  </si>
  <si>
    <t>W/m/°C.</t>
  </si>
  <si>
    <t>Longueur de tube nécessaire pour l'efficacité recherchée</t>
  </si>
  <si>
    <t>Surface d'échange nécessaire pour l'efficacité recherchée</t>
  </si>
  <si>
    <t>Coefficient d'échange de l'échangeur</t>
  </si>
  <si>
    <t>Puissance récupérée sur le fluide chaud</t>
  </si>
  <si>
    <t>Facteur de friction</t>
  </si>
  <si>
    <t>Vitesse</t>
  </si>
  <si>
    <t>Nombre de Reynolds</t>
  </si>
  <si>
    <t>Kg/h</t>
  </si>
  <si>
    <t>Kg/j</t>
  </si>
  <si>
    <t>l/h</t>
  </si>
  <si>
    <t>kg/l</t>
  </si>
  <si>
    <t>kg/m3</t>
  </si>
  <si>
    <t>kg/cm3</t>
  </si>
  <si>
    <t>g/m3</t>
  </si>
  <si>
    <t>g/l</t>
  </si>
  <si>
    <t xml:space="preserve">                CALCULATEUR DE DIMENSIONNEMENT D'ECHANGEUR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</si>
  <si>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/h</t>
    </r>
  </si>
  <si>
    <r>
      <t>Kg/m</t>
    </r>
    <r>
      <rPr>
        <b/>
        <vertAlign val="superscript"/>
        <sz val="11"/>
        <color rgb="FF3F3F3F"/>
        <rFont val="Calibri"/>
        <family val="2"/>
        <scheme val="minor"/>
      </rPr>
      <t>3</t>
    </r>
  </si>
  <si>
    <r>
      <t>m</t>
    </r>
    <r>
      <rPr>
        <b/>
        <vertAlign val="superscript"/>
        <sz val="11"/>
        <color rgb="FF3F3F3F"/>
        <rFont val="Calibri"/>
        <family val="2"/>
        <scheme val="minor"/>
      </rPr>
      <t>3</t>
    </r>
    <r>
      <rPr>
        <b/>
        <sz val="11"/>
        <color rgb="FF3F3F3F"/>
        <rFont val="Calibri"/>
        <family val="2"/>
        <scheme val="minor"/>
      </rPr>
      <t>/h</t>
    </r>
  </si>
  <si>
    <r>
      <t>kg/m</t>
    </r>
    <r>
      <rPr>
        <b/>
        <vertAlign val="superscript"/>
        <sz val="11"/>
        <color rgb="FF3F3F3F"/>
        <rFont val="Calibri"/>
        <family val="2"/>
        <scheme val="minor"/>
      </rPr>
      <t>3</t>
    </r>
  </si>
  <si>
    <t>Efficacité échangeur</t>
  </si>
  <si>
    <t>Différentiel de température logarithmique moyen</t>
  </si>
  <si>
    <t>cm</t>
  </si>
  <si>
    <t>mm</t>
  </si>
  <si>
    <r>
      <rPr>
        <b/>
        <sz val="11"/>
        <color rgb="FF3F3F3F"/>
        <rFont val="Calibri"/>
        <family val="2"/>
      </rPr>
      <t>É</t>
    </r>
    <r>
      <rPr>
        <b/>
        <sz val="11"/>
        <color rgb="FF3F3F3F"/>
        <rFont val="Calibri"/>
        <family val="2"/>
        <scheme val="minor"/>
      </rPr>
      <t>paisseur</t>
    </r>
  </si>
  <si>
    <r>
      <t xml:space="preserve">Cinématique </t>
    </r>
    <r>
      <rPr>
        <sz val="11"/>
        <rFont val="Calibri"/>
        <family val="2"/>
      </rPr>
      <t>ν [</t>
    </r>
    <r>
      <rPr>
        <sz val="11"/>
        <rFont val="Calibri"/>
        <family val="2"/>
        <scheme val="minor"/>
      </rPr>
      <t>m2/s]</t>
    </r>
  </si>
  <si>
    <r>
      <t xml:space="preserve">Dynamique </t>
    </r>
    <r>
      <rPr>
        <sz val="11"/>
        <rFont val="Calibri"/>
        <family val="2"/>
      </rPr>
      <t>µ [kg/m/s]</t>
    </r>
  </si>
  <si>
    <t>Dynamique µ [kg/m/s]</t>
  </si>
  <si>
    <t>[kg/m/s]</t>
  </si>
  <si>
    <r>
      <t>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/s]</t>
    </r>
  </si>
  <si>
    <r>
      <t>m</t>
    </r>
    <r>
      <rPr>
        <b/>
        <vertAlign val="superscript"/>
        <sz val="11"/>
        <color rgb="FF3F3F3F"/>
        <rFont val="Calibri"/>
        <family val="2"/>
        <scheme val="minor"/>
      </rPr>
      <t>2</t>
    </r>
  </si>
  <si>
    <t>Nombre de Prandtl</t>
  </si>
  <si>
    <t xml:space="preserve">Nombre de Nusselt </t>
  </si>
  <si>
    <t>Coeffficient de transfert de chaleur entre les fluides</t>
  </si>
  <si>
    <t>-</t>
  </si>
  <si>
    <t>°K</t>
  </si>
  <si>
    <r>
      <t>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/h</t>
    </r>
  </si>
  <si>
    <r>
      <t>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/j</t>
    </r>
  </si>
  <si>
    <r>
      <t>W/m</t>
    </r>
    <r>
      <rPr>
        <b/>
        <vertAlign val="superscript"/>
        <sz val="11"/>
        <color rgb="FF3F3F3F"/>
        <rFont val="Calibri"/>
        <family val="2"/>
        <scheme val="minor"/>
      </rPr>
      <t>2</t>
    </r>
    <r>
      <rPr>
        <b/>
        <sz val="11"/>
        <color rgb="FF3F3F3F"/>
        <rFont val="Calibri"/>
        <family val="2"/>
        <scheme val="minor"/>
      </rPr>
      <t>/°C</t>
    </r>
  </si>
  <si>
    <r>
      <t>kg/m</t>
    </r>
    <r>
      <rPr>
        <b/>
        <vertAlign val="superscript"/>
        <sz val="11"/>
        <color rgb="FF3F3F3F"/>
        <rFont val="Calibri"/>
        <family val="2"/>
        <scheme val="minor"/>
      </rPr>
      <t>2/</t>
    </r>
    <r>
      <rPr>
        <b/>
        <sz val="11"/>
        <color rgb="FF3F3F3F"/>
        <rFont val="Calibri"/>
        <family val="2"/>
        <scheme val="minor"/>
      </rPr>
      <t>h</t>
    </r>
  </si>
  <si>
    <r>
      <t>m</t>
    </r>
    <r>
      <rPr>
        <vertAlign val="superscript"/>
        <sz val="11"/>
        <rFont val="Calibri"/>
        <family val="2"/>
        <scheme val="minor"/>
      </rPr>
      <t>2</t>
    </r>
  </si>
  <si>
    <t>Pertes de charge dans l'échangeur</t>
  </si>
  <si>
    <t>Fluide à réchauffer</t>
  </si>
  <si>
    <t>Fluide chaud</t>
  </si>
  <si>
    <t>Masse volumique</t>
  </si>
  <si>
    <t>Débit</t>
  </si>
  <si>
    <t>Débit massique</t>
  </si>
  <si>
    <t>Débit volumique</t>
  </si>
  <si>
    <t>Capacité calorifique</t>
  </si>
  <si>
    <t>Température entrée échangeur</t>
  </si>
  <si>
    <t>Conductivité thermique</t>
  </si>
  <si>
    <t>Viscosité</t>
  </si>
  <si>
    <t>Viscosité dynamique</t>
  </si>
  <si>
    <t>Viscosité cinématique</t>
  </si>
  <si>
    <t>Température  sortie échangeur</t>
  </si>
  <si>
    <t>Caractéristiques des fluides utilisés dans l'échangeur</t>
  </si>
  <si>
    <t>Caractéristiques de l'échangeur</t>
  </si>
  <si>
    <t>Si acier inoxydable :</t>
  </si>
  <si>
    <t>Fluide à réchauffer dans :</t>
  </si>
  <si>
    <t>Diamètre logarithmique moyen du tube interne</t>
  </si>
  <si>
    <t>Diamètre équivalent du tube externe</t>
  </si>
  <si>
    <t>Température logarithmique moyenne</t>
  </si>
  <si>
    <t>Section</t>
  </si>
  <si>
    <t>Perte de charge</t>
  </si>
  <si>
    <t>T</t>
  </si>
  <si>
    <t>ρ</t>
  </si>
  <si>
    <t>μ</t>
  </si>
  <si>
    <t>ν</t>
  </si>
  <si>
    <t>Cp</t>
  </si>
  <si>
    <t>λ</t>
  </si>
  <si>
    <r>
      <t>kg/m</t>
    </r>
    <r>
      <rPr>
        <vertAlign val="superscript"/>
        <sz val="11"/>
        <color theme="1"/>
        <rFont val="Calibri"/>
        <family val="2"/>
        <scheme val="minor"/>
      </rPr>
      <t>3</t>
    </r>
  </si>
  <si>
    <t>kg/m/s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</si>
  <si>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/s</t>
    </r>
  </si>
  <si>
    <t>Propriétés thermodynamiques de l'eau</t>
  </si>
  <si>
    <t>Huile</t>
  </si>
  <si>
    <t>Rendement de la pompe</t>
  </si>
  <si>
    <t xml:space="preserve">Puissance électrique supplémentaire pour le circulateur </t>
  </si>
  <si>
    <t>Sens des fluides</t>
  </si>
  <si>
    <t>Contre-courant</t>
  </si>
  <si>
    <t>Co-courant</t>
  </si>
  <si>
    <t>Contre-courant :</t>
  </si>
  <si>
    <t>Co-courant :</t>
  </si>
  <si>
    <t>Ce calculateur permet de dimensionner un échangeur à tubes utilisant un fluide chaud (par exemple le digestat) pour préchauffer un fluide à monter en température (par exemple la matière entrant dans le digesteur)</t>
  </si>
  <si>
    <t>L'échangeur est considéré comme calorifugé, et la perte de chaleur est considérée comme nulle. Utiliser le calculateur de pertes de chaleur dans les canalisations pour déterminer sa valeur exacte</t>
  </si>
  <si>
    <t>m3/h</t>
  </si>
  <si>
    <t>Coefficient d'encrassement interne</t>
  </si>
  <si>
    <t>Coefficient d'encrassement externe</t>
  </si>
  <si>
    <r>
      <t>m</t>
    </r>
    <r>
      <rPr>
        <b/>
        <vertAlign val="superscript"/>
        <sz val="11"/>
        <color rgb="FF3F3F3F"/>
        <rFont val="Calibri"/>
        <family val="2"/>
        <scheme val="minor"/>
      </rPr>
      <t>2</t>
    </r>
    <r>
      <rPr>
        <b/>
        <sz val="11"/>
        <color rgb="FF3F3F3F"/>
        <rFont val="Calibri"/>
        <family val="2"/>
        <scheme val="minor"/>
      </rPr>
      <t>.°C/W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</si>
</sst>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0000"/>
    <numFmt numFmtId="165" formatCode="0.0000"/>
    <numFmt numFmtId="166" formatCode="0.000"/>
    <numFmt numFmtId="167" formatCode="0.0"/>
    <numFmt numFmtId="168" formatCode="0.0E+00"/>
    <numFmt numFmtId="169" formatCode="0.000000"/>
    <numFmt numFmtId="170" formatCode="_-* #,##0.0000\ _€_-;\-* #,##0.0000\ _€_-;_-* &quot;-&quot;??\ _€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FFFF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indexed="39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color indexed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4"/>
      <color rgb="FFFF0000"/>
      <name val="Calibri"/>
      <family val="2"/>
      <scheme val="minor"/>
    </font>
    <font>
      <sz val="11"/>
      <color rgb="FF24487E"/>
      <name val="Calibri"/>
      <family val="2"/>
      <scheme val="minor"/>
    </font>
    <font>
      <sz val="11"/>
      <color rgb="FF00800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perscript"/>
      <sz val="11"/>
      <color rgb="FF3F3F3F"/>
      <name val="Calibri"/>
      <family val="2"/>
      <scheme val="minor"/>
    </font>
    <font>
      <b/>
      <sz val="11"/>
      <color rgb="FF24487E"/>
      <name val="Calibri"/>
      <family val="2"/>
      <scheme val="minor"/>
    </font>
    <font>
      <b/>
      <sz val="11"/>
      <color rgb="FF3F3F3F"/>
      <name val="Calibri"/>
      <family val="2"/>
    </font>
    <font>
      <vertAlign val="superscript"/>
      <sz val="11"/>
      <name val="Calibri"/>
      <family val="2"/>
      <scheme val="minor"/>
    </font>
    <font>
      <b/>
      <sz val="12"/>
      <color theme="3" tint="-0.249977111117893"/>
      <name val="Calibri"/>
      <family val="2"/>
      <scheme val="minor"/>
    </font>
    <font>
      <i/>
      <sz val="11"/>
      <color rgb="FF3F3F3F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 style="thin">
        <color indexed="64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indexed="64"/>
      </bottom>
      <diagonal/>
    </border>
    <border>
      <left/>
      <right style="thin">
        <color indexed="64"/>
      </right>
      <top style="thin">
        <color rgb="FF3F3F3F"/>
      </top>
      <bottom style="thin">
        <color indexed="64"/>
      </bottom>
      <diagonal/>
    </border>
    <border>
      <left/>
      <right/>
      <top style="thin">
        <color rgb="FF3F3F3F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4" fillId="2" borderId="5" applyNumberFormat="0" applyAlignment="0" applyProtection="0"/>
  </cellStyleXfs>
  <cellXfs count="76">
    <xf numFmtId="0" fontId="0" fillId="0" borderId="0" xfId="0"/>
    <xf numFmtId="0" fontId="0" fillId="0" borderId="0" xfId="0" applyFont="1"/>
    <xf numFmtId="0" fontId="0" fillId="0" borderId="0" xfId="0" applyFont="1" applyBorder="1"/>
    <xf numFmtId="44" fontId="3" fillId="0" borderId="0" xfId="2" applyFont="1" applyBorder="1"/>
    <xf numFmtId="0" fontId="3" fillId="0" borderId="0" xfId="0" applyFont="1" applyBorder="1"/>
    <xf numFmtId="0" fontId="8" fillId="0" borderId="0" xfId="0" applyFont="1"/>
    <xf numFmtId="0" fontId="8" fillId="0" borderId="0" xfId="0" applyFont="1" applyBorder="1" applyAlignment="1" applyProtection="1">
      <alignment horizontal="left"/>
    </xf>
    <xf numFmtId="0" fontId="8" fillId="0" borderId="0" xfId="0" applyFont="1" applyBorder="1"/>
    <xf numFmtId="0" fontId="8" fillId="0" borderId="0" xfId="0" applyFont="1" applyBorder="1" applyAlignment="1" applyProtection="1">
      <alignment horizontal="center"/>
    </xf>
    <xf numFmtId="164" fontId="9" fillId="0" borderId="0" xfId="1" applyNumberFormat="1" applyFont="1" applyBorder="1" applyAlignment="1" applyProtection="1"/>
    <xf numFmtId="165" fontId="10" fillId="0" borderId="0" xfId="1" applyNumberFormat="1" applyFont="1" applyBorder="1" applyProtection="1"/>
    <xf numFmtId="2" fontId="10" fillId="0" borderId="0" xfId="0" applyNumberFormat="1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49" fontId="8" fillId="0" borderId="0" xfId="0" applyNumberFormat="1" applyFont="1" applyBorder="1" applyAlignment="1">
      <alignment horizontal="center"/>
    </xf>
    <xf numFmtId="49" fontId="8" fillId="0" borderId="0" xfId="0" applyNumberFormat="1" applyFont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center"/>
    </xf>
    <xf numFmtId="166" fontId="10" fillId="0" borderId="0" xfId="1" applyNumberFormat="1" applyFont="1" applyBorder="1"/>
    <xf numFmtId="1" fontId="10" fillId="0" borderId="0" xfId="0" applyNumberFormat="1" applyFont="1"/>
    <xf numFmtId="167" fontId="10" fillId="0" borderId="0" xfId="0" applyNumberFormat="1" applyFont="1" applyBorder="1"/>
    <xf numFmtId="0" fontId="8" fillId="0" borderId="0" xfId="0" applyFont="1" applyBorder="1" applyAlignment="1">
      <alignment horizontal="right"/>
    </xf>
    <xf numFmtId="0" fontId="8" fillId="0" borderId="0" xfId="0" applyFont="1" applyFill="1" applyBorder="1"/>
    <xf numFmtId="0" fontId="12" fillId="0" borderId="2" xfId="0" applyFont="1" applyFill="1" applyBorder="1"/>
    <xf numFmtId="0" fontId="8" fillId="0" borderId="0" xfId="0" applyFont="1" applyFill="1" applyBorder="1" applyAlignment="1">
      <alignment horizontal="center"/>
    </xf>
    <xf numFmtId="2" fontId="11" fillId="0" borderId="0" xfId="0" applyNumberFormat="1" applyFont="1" applyFill="1" applyBorder="1" applyAlignment="1">
      <alignment horizontal="right"/>
    </xf>
    <xf numFmtId="0" fontId="8" fillId="0" borderId="4" xfId="0" applyFont="1" applyFill="1" applyBorder="1" applyAlignment="1">
      <alignment horizontal="center"/>
    </xf>
    <xf numFmtId="2" fontId="10" fillId="0" borderId="0" xfId="4" applyNumberFormat="1" applyFont="1" applyBorder="1"/>
    <xf numFmtId="0" fontId="11" fillId="0" borderId="0" xfId="0" applyFont="1" applyBorder="1" applyAlignment="1" applyProtection="1">
      <alignment horizontal="center"/>
    </xf>
    <xf numFmtId="168" fontId="10" fillId="0" borderId="0" xfId="0" applyNumberFormat="1" applyFont="1" applyFill="1" applyBorder="1" applyAlignment="1">
      <alignment horizontal="right"/>
    </xf>
    <xf numFmtId="0" fontId="10" fillId="0" borderId="0" xfId="0" applyFont="1"/>
    <xf numFmtId="0" fontId="4" fillId="2" borderId="5" xfId="5" applyFont="1" applyProtection="1"/>
    <xf numFmtId="2" fontId="16" fillId="4" borderId="6" xfId="3" applyNumberFormat="1" applyFont="1" applyFill="1" applyBorder="1" applyProtection="1"/>
    <xf numFmtId="2" fontId="15" fillId="3" borderId="6" xfId="0" applyNumberFormat="1" applyFont="1" applyFill="1" applyBorder="1" applyProtection="1">
      <protection locked="0"/>
    </xf>
    <xf numFmtId="0" fontId="4" fillId="2" borderId="5" xfId="5" applyFont="1" applyAlignment="1" applyProtection="1">
      <alignment horizontal="center"/>
    </xf>
    <xf numFmtId="2" fontId="15" fillId="3" borderId="7" xfId="0" applyNumberFormat="1" applyFont="1" applyFill="1" applyBorder="1" applyProtection="1">
      <protection locked="0"/>
    </xf>
    <xf numFmtId="9" fontId="15" fillId="3" borderId="6" xfId="3" applyFont="1" applyFill="1" applyBorder="1" applyProtection="1">
      <protection locked="0"/>
    </xf>
    <xf numFmtId="0" fontId="19" fillId="3" borderId="6" xfId="0" applyNumberFormat="1" applyFont="1" applyFill="1" applyBorder="1" applyAlignment="1" applyProtection="1">
      <alignment horizontal="center"/>
      <protection locked="0"/>
    </xf>
    <xf numFmtId="0" fontId="19" fillId="3" borderId="7" xfId="0" applyNumberFormat="1" applyFont="1" applyFill="1" applyBorder="1" applyAlignment="1" applyProtection="1">
      <alignment horizontal="center"/>
      <protection locked="0"/>
    </xf>
    <xf numFmtId="0" fontId="5" fillId="0" borderId="0" xfId="0" applyFont="1"/>
    <xf numFmtId="0" fontId="4" fillId="2" borderId="3" xfId="5" applyFont="1" applyBorder="1" applyAlignment="1" applyProtection="1"/>
    <xf numFmtId="0" fontId="4" fillId="2" borderId="8" xfId="5" applyFont="1" applyBorder="1" applyProtection="1"/>
    <xf numFmtId="11" fontId="16" fillId="4" borderId="6" xfId="3" applyNumberFormat="1" applyFont="1" applyFill="1" applyBorder="1" applyProtection="1"/>
    <xf numFmtId="169" fontId="15" fillId="3" borderId="6" xfId="0" applyNumberFormat="1" applyFont="1" applyFill="1" applyBorder="1" applyProtection="1">
      <protection locked="0"/>
    </xf>
    <xf numFmtId="170" fontId="15" fillId="3" borderId="6" xfId="1" applyNumberFormat="1" applyFont="1" applyFill="1" applyBorder="1" applyProtection="1">
      <protection locked="0"/>
    </xf>
    <xf numFmtId="43" fontId="15" fillId="3" borderId="6" xfId="1" applyNumberFormat="1" applyFont="1" applyFill="1" applyBorder="1" applyProtection="1">
      <protection locked="0"/>
    </xf>
    <xf numFmtId="165" fontId="8" fillId="0" borderId="0" xfId="1" applyNumberFormat="1" applyFont="1" applyBorder="1" applyAlignment="1" applyProtection="1">
      <alignment horizontal="center"/>
    </xf>
    <xf numFmtId="0" fontId="4" fillId="2" borderId="0" xfId="5" applyFont="1" applyBorder="1" applyProtection="1"/>
    <xf numFmtId="2" fontId="15" fillId="3" borderId="9" xfId="0" applyNumberFormat="1" applyFont="1" applyFill="1" applyBorder="1" applyProtection="1">
      <protection locked="0"/>
    </xf>
    <xf numFmtId="0" fontId="19" fillId="3" borderId="9" xfId="0" applyNumberFormat="1" applyFont="1" applyFill="1" applyBorder="1" applyAlignment="1" applyProtection="1">
      <alignment horizontal="center"/>
      <protection locked="0"/>
    </xf>
    <xf numFmtId="2" fontId="16" fillId="4" borderId="9" xfId="3" applyNumberFormat="1" applyFont="1" applyFill="1" applyBorder="1" applyProtection="1"/>
    <xf numFmtId="0" fontId="4" fillId="2" borderId="10" xfId="5" applyFont="1" applyBorder="1" applyAlignment="1" applyProtection="1">
      <alignment horizontal="center"/>
    </xf>
    <xf numFmtId="0" fontId="4" fillId="2" borderId="8" xfId="5" applyFont="1" applyBorder="1" applyAlignment="1" applyProtection="1">
      <alignment horizontal="center"/>
    </xf>
    <xf numFmtId="0" fontId="0" fillId="0" borderId="2" xfId="0" applyFont="1" applyBorder="1"/>
    <xf numFmtId="0" fontId="22" fillId="0" borderId="2" xfId="0" applyFont="1" applyBorder="1"/>
    <xf numFmtId="0" fontId="22" fillId="0" borderId="0" xfId="0" applyFont="1" applyBorder="1"/>
    <xf numFmtId="0" fontId="4" fillId="2" borderId="10" xfId="5" applyFont="1" applyBorder="1" applyProtection="1"/>
    <xf numFmtId="0" fontId="24" fillId="0" borderId="0" xfId="0" applyFont="1"/>
    <xf numFmtId="11" fontId="0" fillId="0" borderId="0" xfId="0" applyNumberFormat="1"/>
    <xf numFmtId="9" fontId="0" fillId="0" borderId="0" xfId="0" applyNumberFormat="1" applyFont="1"/>
    <xf numFmtId="9" fontId="11" fillId="0" borderId="0" xfId="3" applyFont="1" applyBorder="1" applyAlignment="1" applyProtection="1">
      <alignment horizontal="center"/>
    </xf>
    <xf numFmtId="166" fontId="16" fillId="4" borderId="6" xfId="3" applyNumberFormat="1" applyFont="1" applyFill="1" applyBorder="1" applyProtection="1"/>
    <xf numFmtId="0" fontId="8" fillId="0" borderId="0" xfId="0" applyNumberFormat="1" applyFont="1" applyFill="1" applyBorder="1"/>
    <xf numFmtId="0" fontId="0" fillId="0" borderId="0" xfId="0" applyBorder="1"/>
    <xf numFmtId="2" fontId="8" fillId="0" borderId="0" xfId="0" applyNumberFormat="1" applyFont="1" applyBorder="1" applyAlignment="1" applyProtection="1">
      <alignment horizontal="center"/>
    </xf>
    <xf numFmtId="0" fontId="4" fillId="2" borderId="8" xfId="5" applyFont="1" applyBorder="1" applyAlignment="1" applyProtection="1">
      <alignment horizontal="center"/>
    </xf>
    <xf numFmtId="0" fontId="4" fillId="2" borderId="11" xfId="5" applyFont="1" applyBorder="1" applyAlignment="1" applyProtection="1">
      <alignment horizontal="center"/>
    </xf>
    <xf numFmtId="0" fontId="23" fillId="2" borderId="6" xfId="5" applyFont="1" applyBorder="1" applyAlignment="1" applyProtection="1">
      <alignment horizontal="left"/>
    </xf>
    <xf numFmtId="0" fontId="19" fillId="3" borderId="3" xfId="0" applyNumberFormat="1" applyFont="1" applyFill="1" applyBorder="1" applyAlignment="1" applyProtection="1">
      <alignment horizontal="center"/>
      <protection locked="0"/>
    </xf>
    <xf numFmtId="0" fontId="19" fillId="3" borderId="1" xfId="0" applyNumberFormat="1" applyFont="1" applyFill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center" vertical="center"/>
    </xf>
    <xf numFmtId="0" fontId="4" fillId="2" borderId="6" xfId="5" applyFont="1" applyBorder="1" applyAlignment="1" applyProtection="1">
      <alignment horizontal="center"/>
    </xf>
    <xf numFmtId="0" fontId="4" fillId="2" borderId="12" xfId="5" applyFont="1" applyBorder="1" applyAlignment="1" applyProtection="1">
      <alignment horizontal="center"/>
    </xf>
    <xf numFmtId="0" fontId="4" fillId="2" borderId="14" xfId="5" applyFont="1" applyBorder="1" applyAlignment="1" applyProtection="1">
      <alignment horizontal="center"/>
    </xf>
    <xf numFmtId="0" fontId="4" fillId="2" borderId="13" xfId="5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4" fillId="0" borderId="0" xfId="5" applyFont="1" applyFill="1" applyBorder="1" applyAlignment="1" applyProtection="1">
      <alignment horizontal="center"/>
    </xf>
  </cellXfs>
  <cellStyles count="6">
    <cellStyle name="Euro" xfId="4"/>
    <cellStyle name="Milliers" xfId="1" builtinId="3"/>
    <cellStyle name="Monétaire" xfId="2" builtinId="4"/>
    <cellStyle name="Normal" xfId="0" builtinId="0"/>
    <cellStyle name="Pourcentage" xfId="3" builtinId="5"/>
    <cellStyle name="Sortie" xfId="5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0</xdr:col>
      <xdr:colOff>2571750</xdr:colOff>
      <xdr:row>4</xdr:row>
      <xdr:rowOff>139700</xdr:rowOff>
    </xdr:to>
    <xdr:pic>
      <xdr:nvPicPr>
        <xdr:cNvPr id="3" name="Image 2" descr="Club Biogaz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" y="0"/>
          <a:ext cx="2495550" cy="1054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285750</xdr:colOff>
      <xdr:row>11</xdr:row>
      <xdr:rowOff>9524</xdr:rowOff>
    </xdr:from>
    <xdr:to>
      <xdr:col>13</xdr:col>
      <xdr:colOff>409575</xdr:colOff>
      <xdr:row>17</xdr:row>
      <xdr:rowOff>122912</xdr:rowOff>
    </xdr:to>
    <xdr:grpSp>
      <xdr:nvGrpSpPr>
        <xdr:cNvPr id="141" name="Groupe 140"/>
        <xdr:cNvGrpSpPr/>
      </xdr:nvGrpSpPr>
      <xdr:grpSpPr>
        <a:xfrm>
          <a:off x="8743950" y="2152649"/>
          <a:ext cx="2047875" cy="1246863"/>
          <a:chOff x="9001125" y="4743450"/>
          <a:chExt cx="2981325" cy="1628775"/>
        </a:xfrm>
      </xdr:grpSpPr>
      <xdr:pic>
        <xdr:nvPicPr>
          <xdr:cNvPr id="142" name="Picture 1801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 l="22414" t="46691" r="36925" b="22560"/>
          <a:stretch>
            <a:fillRect/>
          </a:stretch>
        </xdr:blipFill>
        <xdr:spPr bwMode="auto">
          <a:xfrm>
            <a:off x="9001125" y="4743450"/>
            <a:ext cx="2981325" cy="162877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  <xdr:sp macro="" textlink="">
        <xdr:nvSpPr>
          <xdr:cNvPr id="143" name="Rectangle 142"/>
          <xdr:cNvSpPr/>
        </xdr:nvSpPr>
        <xdr:spPr>
          <a:xfrm>
            <a:off x="9077325" y="5343525"/>
            <a:ext cx="257175" cy="133350"/>
          </a:xfrm>
          <a:prstGeom prst="rect">
            <a:avLst/>
          </a:prstGeom>
          <a:solidFill>
            <a:sysClr val="window" lastClr="FFFFFF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fr-FR" sz="1100"/>
          </a:p>
        </xdr:txBody>
      </xdr:sp>
      <xdr:sp macro="" textlink="">
        <xdr:nvSpPr>
          <xdr:cNvPr id="144" name="Rectangle 143"/>
          <xdr:cNvSpPr/>
        </xdr:nvSpPr>
        <xdr:spPr>
          <a:xfrm>
            <a:off x="11696700" y="5343525"/>
            <a:ext cx="257175" cy="142875"/>
          </a:xfrm>
          <a:prstGeom prst="rect">
            <a:avLst/>
          </a:prstGeom>
          <a:solidFill>
            <a:sysClr val="window" lastClr="FFFFFF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fr-FR" sz="1100"/>
          </a:p>
        </xdr:txBody>
      </xdr:sp>
    </xdr:grpSp>
    <xdr:clientData/>
  </xdr:twoCellAnchor>
  <xdr:twoCellAnchor>
    <xdr:from>
      <xdr:col>8</xdr:col>
      <xdr:colOff>324424</xdr:colOff>
      <xdr:row>20</xdr:row>
      <xdr:rowOff>9525</xdr:rowOff>
    </xdr:from>
    <xdr:to>
      <xdr:col>13</xdr:col>
      <xdr:colOff>437274</xdr:colOff>
      <xdr:row>26</xdr:row>
      <xdr:rowOff>180975</xdr:rowOff>
    </xdr:to>
    <xdr:grpSp>
      <xdr:nvGrpSpPr>
        <xdr:cNvPr id="182" name="Groupe 181"/>
        <xdr:cNvGrpSpPr/>
      </xdr:nvGrpSpPr>
      <xdr:grpSpPr>
        <a:xfrm>
          <a:off x="8782624" y="3857625"/>
          <a:ext cx="2036900" cy="1343025"/>
          <a:chOff x="7110412" y="6696075"/>
          <a:chExt cx="1365962" cy="904875"/>
        </a:xfrm>
      </xdr:grpSpPr>
      <xdr:grpSp>
        <xdr:nvGrpSpPr>
          <xdr:cNvPr id="140" name="Groupe 139"/>
          <xdr:cNvGrpSpPr/>
        </xdr:nvGrpSpPr>
        <xdr:grpSpPr>
          <a:xfrm>
            <a:off x="7110412" y="6696075"/>
            <a:ext cx="1363160" cy="904875"/>
            <a:chOff x="9001125" y="4743450"/>
            <a:chExt cx="2981325" cy="1628775"/>
          </a:xfrm>
        </xdr:grpSpPr>
        <xdr:pic>
          <xdr:nvPicPr>
            <xdr:cNvPr id="22" name="Picture 180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 l="22414" t="46691" r="36925" b="22560"/>
            <a:stretch>
              <a:fillRect/>
            </a:stretch>
          </xdr:blipFill>
          <xdr:spPr bwMode="auto">
            <a:xfrm>
              <a:off x="9001125" y="4743450"/>
              <a:ext cx="2981325" cy="1628775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</xdr:spPr>
        </xdr:pic>
        <xdr:sp macro="" textlink="">
          <xdr:nvSpPr>
            <xdr:cNvPr id="138" name="Rectangle 137"/>
            <xdr:cNvSpPr/>
          </xdr:nvSpPr>
          <xdr:spPr>
            <a:xfrm>
              <a:off x="9077325" y="5343525"/>
              <a:ext cx="257175" cy="13335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endParaRPr lang="fr-FR" sz="1100"/>
            </a:p>
          </xdr:txBody>
        </xdr:sp>
        <xdr:sp macro="" textlink="">
          <xdr:nvSpPr>
            <xdr:cNvPr id="139" name="Rectangle 138"/>
            <xdr:cNvSpPr/>
          </xdr:nvSpPr>
          <xdr:spPr>
            <a:xfrm>
              <a:off x="11696700" y="5343525"/>
              <a:ext cx="257175" cy="142875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endParaRPr lang="fr-FR" sz="1100"/>
            </a:p>
          </xdr:txBody>
        </xdr:sp>
      </xdr:grpSp>
      <xdr:sp macro="" textlink="">
        <xdr:nvSpPr>
          <xdr:cNvPr id="147" name="Rectangle 146"/>
          <xdr:cNvSpPr/>
        </xdr:nvSpPr>
        <xdr:spPr>
          <a:xfrm>
            <a:off x="7124701" y="7053263"/>
            <a:ext cx="123824" cy="166687"/>
          </a:xfrm>
          <a:prstGeom prst="rect">
            <a:avLst/>
          </a:prstGeom>
          <a:solidFill>
            <a:sysClr val="window" lastClr="FFFFFF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fr-FR" sz="1100"/>
          </a:p>
        </xdr:txBody>
      </xdr:sp>
      <xdr:sp macro="" textlink="">
        <xdr:nvSpPr>
          <xdr:cNvPr id="148" name="Rectangle 147"/>
          <xdr:cNvSpPr/>
        </xdr:nvSpPr>
        <xdr:spPr>
          <a:xfrm>
            <a:off x="8312945" y="7067550"/>
            <a:ext cx="147637" cy="166687"/>
          </a:xfrm>
          <a:prstGeom prst="rect">
            <a:avLst/>
          </a:prstGeom>
          <a:solidFill>
            <a:sysClr val="window" lastClr="FFFFFF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fr-FR" sz="1100"/>
          </a:p>
        </xdr:txBody>
      </xdr:sp>
      <xdr:sp macro="" textlink="">
        <xdr:nvSpPr>
          <xdr:cNvPr id="151" name="Rectangle 150"/>
          <xdr:cNvSpPr/>
        </xdr:nvSpPr>
        <xdr:spPr>
          <a:xfrm flipV="1">
            <a:off x="7653337" y="7125175"/>
            <a:ext cx="261938" cy="25200"/>
          </a:xfrm>
          <a:prstGeom prst="rect">
            <a:avLst/>
          </a:prstGeom>
          <a:solidFill>
            <a:sysClr val="window" lastClr="FFFFFF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fr-FR" sz="1100"/>
          </a:p>
        </xdr:txBody>
      </xdr:sp>
      <xdr:pic>
        <xdr:nvPicPr>
          <xdr:cNvPr id="179" name="Picture 1801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 l="39816" t="57436" r="54715" b="41010"/>
          <a:stretch>
            <a:fillRect/>
          </a:stretch>
        </xdr:blipFill>
        <xdr:spPr bwMode="auto">
          <a:xfrm>
            <a:off x="7119061" y="7112318"/>
            <a:ext cx="183357" cy="45719"/>
          </a:xfrm>
          <a:prstGeom prst="rect">
            <a:avLst/>
          </a:prstGeom>
          <a:noFill/>
          <a:ln w="0">
            <a:solidFill>
              <a:schemeClr val="bg1"/>
            </a:solidFill>
            <a:miter lim="800000"/>
            <a:headEnd/>
            <a:tailEnd/>
          </a:ln>
        </xdr:spPr>
      </xdr:pic>
      <xdr:pic>
        <xdr:nvPicPr>
          <xdr:cNvPr id="180" name="Picture 1801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 l="39816" t="57436" r="54715" b="41010"/>
          <a:stretch>
            <a:fillRect/>
          </a:stretch>
        </xdr:blipFill>
        <xdr:spPr bwMode="auto">
          <a:xfrm>
            <a:off x="8293017" y="7119462"/>
            <a:ext cx="183357" cy="45719"/>
          </a:xfrm>
          <a:prstGeom prst="rect">
            <a:avLst/>
          </a:prstGeom>
          <a:noFill/>
          <a:ln w="0">
            <a:solidFill>
              <a:schemeClr val="bg1"/>
            </a:solidFill>
            <a:miter lim="800000"/>
            <a:headEnd/>
            <a:tailEnd/>
          </a:ln>
        </xdr:spPr>
      </xdr:pic>
      <xdr:pic>
        <xdr:nvPicPr>
          <xdr:cNvPr id="181" name="Picture 1801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 l="39816" t="57436" r="54715" b="41010"/>
          <a:stretch>
            <a:fillRect/>
          </a:stretch>
        </xdr:blipFill>
        <xdr:spPr bwMode="auto">
          <a:xfrm>
            <a:off x="7623886" y="7109937"/>
            <a:ext cx="183357" cy="45719"/>
          </a:xfrm>
          <a:prstGeom prst="rect">
            <a:avLst/>
          </a:prstGeom>
          <a:noFill/>
          <a:ln w="0">
            <a:solidFill>
              <a:schemeClr val="bg1"/>
            </a:solidFill>
            <a:miter lim="800000"/>
            <a:headEnd/>
            <a:tailEnd/>
          </a:ln>
        </xdr:spPr>
      </xdr:pic>
    </xdr:grpSp>
    <xdr:clientData/>
  </xdr:twoCellAnchor>
  <xdr:twoCellAnchor editAs="oneCell">
    <xdr:from>
      <xdr:col>11</xdr:col>
      <xdr:colOff>0</xdr:colOff>
      <xdr:row>25</xdr:row>
      <xdr:rowOff>104775</xdr:rowOff>
    </xdr:from>
    <xdr:to>
      <xdr:col>15</xdr:col>
      <xdr:colOff>76200</xdr:colOff>
      <xdr:row>34</xdr:row>
      <xdr:rowOff>114300</xdr:rowOff>
    </xdr:to>
    <xdr:sp macro="" textlink="">
      <xdr:nvSpPr>
        <xdr:cNvPr id="1116" name="AutoShape 92"/>
        <xdr:cNvSpPr>
          <a:spLocks noChangeAspect="1" noChangeArrowheads="1"/>
        </xdr:cNvSpPr>
      </xdr:nvSpPr>
      <xdr:spPr bwMode="auto">
        <a:xfrm>
          <a:off x="9001125" y="4933950"/>
          <a:ext cx="2981325" cy="1628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X166"/>
  <sheetViews>
    <sheetView tabSelected="1" topLeftCell="A64" workbookViewId="0">
      <selection activeCell="F84" sqref="F84"/>
    </sheetView>
  </sheetViews>
  <sheetFormatPr baseColWidth="10" defaultRowHeight="15" x14ac:dyDescent="0.25"/>
  <cols>
    <col min="1" max="1" width="52" style="1" customWidth="1"/>
    <col min="2" max="2" width="10.28515625" style="1" customWidth="1"/>
    <col min="3" max="3" width="10.7109375" style="1" customWidth="1"/>
    <col min="4" max="4" width="10.42578125" style="1" customWidth="1"/>
    <col min="5" max="5" width="11.42578125" style="1" customWidth="1"/>
    <col min="6" max="6" width="11.140625" style="1" customWidth="1"/>
    <col min="7" max="7" width="12.5703125" style="1" customWidth="1"/>
    <col min="8" max="8" width="8.28515625" style="1" customWidth="1"/>
    <col min="9" max="9" width="8.140625" style="1" customWidth="1"/>
    <col min="10" max="11" width="11.42578125" style="1" hidden="1" customWidth="1"/>
    <col min="12" max="12" width="9.140625" style="1" bestFit="1" customWidth="1"/>
    <col min="13" max="13" width="11.5703125" style="1" bestFit="1" customWidth="1"/>
    <col min="14" max="16384" width="11.42578125" style="1"/>
  </cols>
  <sheetData>
    <row r="1" spans="1:24" ht="21" customHeight="1" x14ac:dyDescent="0.25">
      <c r="A1" s="69" t="s">
        <v>34</v>
      </c>
      <c r="B1" s="69"/>
      <c r="C1" s="69"/>
      <c r="D1" s="69"/>
      <c r="E1" s="69"/>
      <c r="F1" s="69"/>
      <c r="G1" s="69"/>
      <c r="H1" s="69"/>
      <c r="I1" s="69"/>
      <c r="J1" s="69"/>
    </row>
    <row r="2" spans="1:24" ht="21" customHeight="1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</row>
    <row r="3" spans="1:24" x14ac:dyDescent="0.25">
      <c r="A3" s="74" t="s">
        <v>0</v>
      </c>
      <c r="B3" s="74"/>
      <c r="C3" s="74"/>
      <c r="D3" s="74"/>
      <c r="E3" s="74"/>
      <c r="F3" s="74"/>
      <c r="G3" s="74"/>
      <c r="H3" s="74"/>
      <c r="I3" s="74"/>
      <c r="J3" s="74"/>
    </row>
    <row r="4" spans="1:24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24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24" x14ac:dyDescent="0.25">
      <c r="A6" s="62" t="s">
        <v>101</v>
      </c>
      <c r="B6" s="2"/>
      <c r="C6" s="2"/>
      <c r="D6" s="3"/>
      <c r="E6" s="2"/>
      <c r="F6" s="2"/>
      <c r="G6" s="4"/>
      <c r="H6" s="4"/>
      <c r="I6" s="4"/>
      <c r="J6" s="4"/>
    </row>
    <row r="7" spans="1:24" x14ac:dyDescent="0.25">
      <c r="A7" t="s">
        <v>102</v>
      </c>
    </row>
    <row r="8" spans="1:24" x14ac:dyDescent="0.25">
      <c r="A8"/>
    </row>
    <row r="9" spans="1:24" ht="15.75" x14ac:dyDescent="0.25">
      <c r="A9" s="53" t="s">
        <v>74</v>
      </c>
      <c r="B9" s="52"/>
      <c r="C9" s="52"/>
      <c r="D9" s="52"/>
      <c r="E9" s="52"/>
      <c r="F9" s="52"/>
      <c r="G9" s="52"/>
    </row>
    <row r="10" spans="1:24" ht="6" customHeight="1" x14ac:dyDescent="0.25"/>
    <row r="11" spans="1:24" x14ac:dyDescent="0.25">
      <c r="A11" s="5"/>
      <c r="B11" s="64" t="s">
        <v>61</v>
      </c>
      <c r="C11" s="65"/>
      <c r="D11" s="64" t="s">
        <v>62</v>
      </c>
      <c r="E11" s="65"/>
      <c r="J11" s="5"/>
      <c r="K11" s="5"/>
      <c r="L11" s="75" t="s">
        <v>99</v>
      </c>
      <c r="M11" s="75"/>
      <c r="P11" s="6"/>
      <c r="Q11" s="7"/>
      <c r="R11" s="8"/>
      <c r="S11" s="9"/>
      <c r="T11" s="8"/>
      <c r="U11" s="10"/>
      <c r="V11" s="8"/>
      <c r="W11" s="11"/>
      <c r="X11" s="12"/>
    </row>
    <row r="12" spans="1:24" x14ac:dyDescent="0.25">
      <c r="A12" s="30" t="s">
        <v>64</v>
      </c>
      <c r="B12" s="47">
        <v>1</v>
      </c>
      <c r="C12" s="48" t="s">
        <v>26</v>
      </c>
      <c r="D12" s="47">
        <f>0.6*B12</f>
        <v>0.6</v>
      </c>
      <c r="E12" s="48" t="s">
        <v>103</v>
      </c>
      <c r="J12" s="45" t="s">
        <v>26</v>
      </c>
      <c r="K12" s="8" t="s">
        <v>30</v>
      </c>
      <c r="L12" s="5"/>
      <c r="P12" s="6"/>
      <c r="Q12" s="7"/>
      <c r="R12" s="8"/>
      <c r="S12" s="9"/>
      <c r="T12" s="8"/>
      <c r="U12" s="10"/>
      <c r="V12" s="8"/>
      <c r="W12" s="11"/>
      <c r="X12" s="12"/>
    </row>
    <row r="13" spans="1:24" x14ac:dyDescent="0.25">
      <c r="A13" s="30" t="s">
        <v>63</v>
      </c>
      <c r="B13" s="32">
        <v>994</v>
      </c>
      <c r="C13" s="36" t="s">
        <v>30</v>
      </c>
      <c r="D13" s="34">
        <v>994</v>
      </c>
      <c r="E13" s="37" t="s">
        <v>30</v>
      </c>
      <c r="J13" s="12" t="s">
        <v>27</v>
      </c>
      <c r="K13" s="13" t="s">
        <v>29</v>
      </c>
      <c r="L13" s="5"/>
    </row>
    <row r="14" spans="1:24" ht="17.25" x14ac:dyDescent="0.25">
      <c r="A14" s="30" t="s">
        <v>63</v>
      </c>
      <c r="B14" s="31">
        <f>IF(C13=K12,B13,IF(C13=K13,B13*1000,IF(C13=K14,B13*1000000,IF(C13=K15,B13/1000,IF(C13=K16,B13,IF(C13=#REF!,B13*1000))))))</f>
        <v>994</v>
      </c>
      <c r="C14" s="33" t="s">
        <v>36</v>
      </c>
      <c r="D14" s="31">
        <f>IF(E13=K12,D13,IF(E13=K13,D13*1000,IF(E13=K14,D13*1000000,IF(E13=K15,D13/1000,IF(E13=K16,D13,IF(E13=#REF!,D13*1000))))))</f>
        <v>994</v>
      </c>
      <c r="E14" s="33" t="s">
        <v>38</v>
      </c>
      <c r="J14" s="45" t="s">
        <v>55</v>
      </c>
      <c r="K14" s="8" t="s">
        <v>31</v>
      </c>
      <c r="L14" s="5"/>
    </row>
    <row r="15" spans="1:24" ht="17.25" x14ac:dyDescent="0.25">
      <c r="A15" s="39" t="s">
        <v>65</v>
      </c>
      <c r="B15" s="31">
        <f>B14*B16</f>
        <v>1</v>
      </c>
      <c r="C15" s="33" t="s">
        <v>3</v>
      </c>
      <c r="D15" s="31">
        <f>D16*D14</f>
        <v>596.4</v>
      </c>
      <c r="E15" s="33" t="s">
        <v>3</v>
      </c>
      <c r="J15" s="12" t="s">
        <v>56</v>
      </c>
      <c r="K15" s="13" t="s">
        <v>32</v>
      </c>
      <c r="L15" s="5"/>
    </row>
    <row r="16" spans="1:24" ht="17.25" x14ac:dyDescent="0.25">
      <c r="A16" s="39" t="s">
        <v>66</v>
      </c>
      <c r="B16" s="49">
        <f>IF(C12=J12,B12/B14,IF(C12=J13,B12/B14/24,IF(C12=J14,B12,IF(C12=J15,B12/24,IF(C12=J16,B12/1000,IF(C12=#REF!,B12/1000/24))))))</f>
        <v>1.006036217303823E-3</v>
      </c>
      <c r="C16" s="50" t="s">
        <v>35</v>
      </c>
      <c r="D16" s="49">
        <f>IF(E12=J12,D12/D14,IF(E12=J13,D12/D13/24,IF(E12=J14,D12,IF(E12=J15,D12/24,IF(E12=J16,D12/1000,IF(E12=#REF!,D12/1000/24))))))</f>
        <v>0.6</v>
      </c>
      <c r="E16" s="50" t="s">
        <v>37</v>
      </c>
      <c r="J16" s="12" t="s">
        <v>28</v>
      </c>
      <c r="K16" s="13" t="s">
        <v>33</v>
      </c>
      <c r="L16" s="5"/>
    </row>
    <row r="17" spans="1:16" ht="7.5" customHeight="1" x14ac:dyDescent="0.25">
      <c r="J17" s="12"/>
      <c r="K17" s="13"/>
      <c r="L17" s="5"/>
    </row>
    <row r="18" spans="1:16" x14ac:dyDescent="0.25">
      <c r="A18" s="30" t="s">
        <v>68</v>
      </c>
      <c r="B18" s="32">
        <v>12</v>
      </c>
      <c r="C18" s="33" t="s">
        <v>8</v>
      </c>
      <c r="D18" s="32">
        <v>38</v>
      </c>
      <c r="E18" s="33" t="s">
        <v>8</v>
      </c>
      <c r="F18" s="11"/>
      <c r="G18" s="14"/>
      <c r="J18" s="7"/>
      <c r="K18" s="5"/>
      <c r="L18" s="5"/>
    </row>
    <row r="19" spans="1:16" x14ac:dyDescent="0.25">
      <c r="A19" s="30" t="s">
        <v>67</v>
      </c>
      <c r="B19" s="32">
        <v>4180</v>
      </c>
      <c r="C19" s="33" t="s">
        <v>7</v>
      </c>
      <c r="D19" s="32">
        <v>4180</v>
      </c>
      <c r="E19" s="33" t="s">
        <v>7</v>
      </c>
      <c r="F19" s="7"/>
      <c r="J19" s="7"/>
      <c r="K19" s="5"/>
    </row>
    <row r="20" spans="1:16" x14ac:dyDescent="0.25">
      <c r="A20" s="30" t="s">
        <v>69</v>
      </c>
      <c r="B20" s="32">
        <v>0.52500000000000002</v>
      </c>
      <c r="C20" s="33" t="s">
        <v>16</v>
      </c>
      <c r="D20" s="32">
        <v>0.56299999999999994</v>
      </c>
      <c r="E20" s="33" t="s">
        <v>16</v>
      </c>
      <c r="J20" s="7"/>
      <c r="K20" s="5"/>
      <c r="L20" s="75" t="s">
        <v>100</v>
      </c>
      <c r="M20" s="75"/>
    </row>
    <row r="21" spans="1:16" x14ac:dyDescent="0.25">
      <c r="K21" s="5"/>
      <c r="L21" s="5"/>
    </row>
    <row r="22" spans="1:16" x14ac:dyDescent="0.25">
      <c r="B22" s="71" t="s">
        <v>61</v>
      </c>
      <c r="C22" s="72"/>
      <c r="D22" s="73"/>
      <c r="E22" s="71" t="s">
        <v>62</v>
      </c>
      <c r="F22" s="72"/>
      <c r="G22" s="73"/>
      <c r="K22" s="5"/>
      <c r="L22" s="5"/>
    </row>
    <row r="23" spans="1:16" x14ac:dyDescent="0.25">
      <c r="A23" s="40" t="s">
        <v>70</v>
      </c>
      <c r="B23" s="42">
        <v>0.10100000000000001</v>
      </c>
      <c r="C23" s="67" t="s">
        <v>46</v>
      </c>
      <c r="D23" s="68"/>
      <c r="E23" s="42">
        <v>5.04E-4</v>
      </c>
      <c r="F23" s="67" t="s">
        <v>46</v>
      </c>
      <c r="G23" s="68"/>
      <c r="J23" s="7" t="s">
        <v>45</v>
      </c>
      <c r="K23" s="5"/>
      <c r="L23" s="5"/>
    </row>
    <row r="24" spans="1:16" x14ac:dyDescent="0.25">
      <c r="A24" s="40" t="s">
        <v>71</v>
      </c>
      <c r="B24" s="41">
        <f>IF(C23=J23,B23,IF(C23=J24,B23*B14))</f>
        <v>0.10100000000000001</v>
      </c>
      <c r="C24" s="70" t="s">
        <v>47</v>
      </c>
      <c r="D24" s="70"/>
      <c r="E24" s="41">
        <f>IF(F23=J23,E23,IF(F23=J24,E23*D14))</f>
        <v>5.04E-4</v>
      </c>
      <c r="F24" s="70" t="s">
        <v>47</v>
      </c>
      <c r="G24" s="70"/>
      <c r="J24" s="7" t="s">
        <v>44</v>
      </c>
      <c r="K24" s="5"/>
      <c r="L24" s="5"/>
    </row>
    <row r="25" spans="1:16" ht="17.25" x14ac:dyDescent="0.25">
      <c r="A25" s="40" t="s">
        <v>72</v>
      </c>
      <c r="B25" s="41">
        <f>IF(C23=J23,B24/B14,B23)</f>
        <v>1.0160965794768613E-4</v>
      </c>
      <c r="C25" s="70" t="s">
        <v>48</v>
      </c>
      <c r="D25" s="70"/>
      <c r="E25" s="41">
        <f>IF(F23=J23,E24/D14,IF(F23=J24,E23))</f>
        <v>5.0704225352112679E-7</v>
      </c>
      <c r="F25" s="70" t="s">
        <v>48</v>
      </c>
      <c r="G25" s="70"/>
      <c r="J25" s="7"/>
      <c r="K25" s="5"/>
      <c r="L25" s="5"/>
    </row>
    <row r="26" spans="1:16" x14ac:dyDescent="0.25">
      <c r="J26" s="7"/>
      <c r="K26" s="5"/>
      <c r="L26" s="5"/>
    </row>
    <row r="27" spans="1:16" ht="15.75" x14ac:dyDescent="0.25">
      <c r="A27" s="53" t="s">
        <v>75</v>
      </c>
      <c r="B27" s="52"/>
      <c r="C27" s="52"/>
      <c r="D27" s="52"/>
      <c r="E27" s="52"/>
      <c r="F27" s="52"/>
      <c r="G27" s="52"/>
      <c r="J27" s="7"/>
      <c r="K27" s="5"/>
      <c r="L27" s="5"/>
    </row>
    <row r="28" spans="1:16" ht="6.75" customHeight="1" x14ac:dyDescent="0.25">
      <c r="J28" s="7"/>
      <c r="K28" s="5"/>
      <c r="L28" s="5"/>
    </row>
    <row r="29" spans="1:16" x14ac:dyDescent="0.25">
      <c r="A29" s="30" t="s">
        <v>96</v>
      </c>
      <c r="B29" s="67" t="s">
        <v>97</v>
      </c>
      <c r="C29" s="68"/>
      <c r="E29" s="12"/>
      <c r="I29" s="5"/>
      <c r="J29" s="7"/>
      <c r="K29" s="5"/>
      <c r="L29" s="5"/>
      <c r="O29" s="5"/>
      <c r="P29" s="5"/>
    </row>
    <row r="30" spans="1:16" x14ac:dyDescent="0.25">
      <c r="D30" s="17"/>
      <c r="E30" s="5"/>
      <c r="G30" s="5"/>
      <c r="H30" s="5"/>
      <c r="I30" s="5"/>
      <c r="J30" s="7"/>
      <c r="K30" s="5"/>
      <c r="L30" s="5"/>
    </row>
    <row r="31" spans="1:16" x14ac:dyDescent="0.25">
      <c r="A31" s="30" t="s">
        <v>6</v>
      </c>
      <c r="B31" s="32">
        <v>1.1000000000000001</v>
      </c>
      <c r="C31" s="8"/>
      <c r="D31" s="5"/>
      <c r="I31" s="5"/>
      <c r="J31" s="7"/>
      <c r="K31" s="5"/>
      <c r="L31" s="5"/>
    </row>
    <row r="32" spans="1:16" x14ac:dyDescent="0.25">
      <c r="A32" s="30" t="s">
        <v>39</v>
      </c>
      <c r="B32" s="35">
        <v>0.7</v>
      </c>
      <c r="C32" s="38" t="str">
        <f>IF(AND(D36&lt;B36,B29=J34),"Cette efficacité est impossible à obtenir avec un échangeur co-courant ! : baisser la valeur","")</f>
        <v/>
      </c>
      <c r="E32" s="18"/>
      <c r="G32" s="13"/>
      <c r="H32" s="19"/>
      <c r="I32" s="20"/>
      <c r="J32" s="7"/>
      <c r="K32" s="5"/>
      <c r="L32" s="5"/>
    </row>
    <row r="33" spans="1:12" x14ac:dyDescent="0.25">
      <c r="A33" s="30" t="s">
        <v>22</v>
      </c>
      <c r="B33" s="31">
        <f>D16*D14*D19/3600*(D18-B18)*B32</f>
        <v>12603.257333333335</v>
      </c>
      <c r="C33" s="33" t="s">
        <v>4</v>
      </c>
      <c r="E33" s="18"/>
      <c r="G33" s="13"/>
      <c r="H33" s="19"/>
      <c r="I33" s="20"/>
      <c r="J33" s="7" t="s">
        <v>97</v>
      </c>
      <c r="K33" s="5"/>
      <c r="L33" s="5"/>
    </row>
    <row r="34" spans="1:12" x14ac:dyDescent="0.25">
      <c r="E34" s="18"/>
      <c r="G34" s="13"/>
      <c r="H34" s="19"/>
      <c r="I34" s="20"/>
      <c r="J34" s="7" t="s">
        <v>98</v>
      </c>
      <c r="K34" s="5"/>
      <c r="L34" s="5"/>
    </row>
    <row r="35" spans="1:12" x14ac:dyDescent="0.25">
      <c r="B35" s="64" t="s">
        <v>61</v>
      </c>
      <c r="C35" s="65"/>
      <c r="D35" s="64" t="s">
        <v>62</v>
      </c>
      <c r="E35" s="65"/>
      <c r="G35" s="5"/>
      <c r="H35" s="5"/>
      <c r="I35" s="5"/>
      <c r="J35" s="7"/>
      <c r="K35" s="5"/>
      <c r="L35" s="5"/>
    </row>
    <row r="36" spans="1:12" x14ac:dyDescent="0.25">
      <c r="A36" s="30" t="s">
        <v>73</v>
      </c>
      <c r="B36" s="31">
        <f>IF((B33/(B16*B14*B19/3600)+B18)&gt;D18,D18,(B33/(B16*B14*B19/3600)+B18))</f>
        <v>38</v>
      </c>
      <c r="C36" s="33" t="s">
        <v>8</v>
      </c>
      <c r="D36" s="31">
        <f>D18-B33*3600/(D16*D19*D14)</f>
        <v>19.799999999999997</v>
      </c>
      <c r="E36" s="33" t="s">
        <v>8</v>
      </c>
      <c r="I36" s="7"/>
      <c r="J36" s="7"/>
      <c r="L36" s="5"/>
    </row>
    <row r="37" spans="1:12" x14ac:dyDescent="0.25">
      <c r="A37" s="30" t="s">
        <v>80</v>
      </c>
      <c r="B37" s="31">
        <f>(B36-B18)/LN((273.15+B36)/(273.15+B18))-273.15</f>
        <v>24.810961189493071</v>
      </c>
      <c r="C37" s="33" t="s">
        <v>8</v>
      </c>
      <c r="D37" s="31">
        <f>(D18-D36)/LN((273.15+D18)/(273.15+D36))-273.15</f>
        <v>28.808591234148082</v>
      </c>
      <c r="E37" s="33" t="s">
        <v>8</v>
      </c>
      <c r="H37" s="7"/>
      <c r="I37" s="7"/>
      <c r="J37" s="7"/>
      <c r="K37" s="5"/>
      <c r="L37" s="5"/>
    </row>
    <row r="38" spans="1:12" x14ac:dyDescent="0.25">
      <c r="G38" s="5"/>
      <c r="H38" s="5"/>
      <c r="I38" s="5"/>
      <c r="J38" s="5"/>
      <c r="L38" s="5"/>
    </row>
    <row r="39" spans="1:12" x14ac:dyDescent="0.25">
      <c r="A39" s="30" t="s">
        <v>40</v>
      </c>
      <c r="B39" s="31" t="e">
        <f>IF(B29=J33,((D18-B36)-(D36-B18))/LN((D18-B36)/(D36-B18)),IF(B29=J34,((D18-B18)-(D36-B36))/LN((D18-B18)/(D36-B36))))</f>
        <v>#NUM!</v>
      </c>
      <c r="C39" s="33" t="s">
        <v>8</v>
      </c>
      <c r="D39" s="31" t="e">
        <f>B39+273.15</f>
        <v>#NUM!</v>
      </c>
      <c r="E39" s="33" t="s">
        <v>54</v>
      </c>
      <c r="I39" s="5"/>
      <c r="J39" s="5"/>
      <c r="L39" s="5"/>
    </row>
    <row r="40" spans="1:12" x14ac:dyDescent="0.25">
      <c r="I40" s="5"/>
      <c r="J40" s="5"/>
      <c r="L40" s="5"/>
    </row>
    <row r="41" spans="1:12" x14ac:dyDescent="0.25">
      <c r="A41" s="22"/>
      <c r="B41" s="64" t="s">
        <v>15</v>
      </c>
      <c r="C41" s="65"/>
      <c r="D41" s="64" t="s">
        <v>14</v>
      </c>
      <c r="E41" s="65"/>
      <c r="I41" s="5"/>
      <c r="J41" s="5"/>
      <c r="L41" s="5"/>
    </row>
    <row r="42" spans="1:12" x14ac:dyDescent="0.25">
      <c r="A42" s="30" t="s">
        <v>9</v>
      </c>
      <c r="B42" s="32">
        <v>0.11</v>
      </c>
      <c r="C42" s="36" t="s">
        <v>2</v>
      </c>
      <c r="D42" s="32">
        <v>0.21</v>
      </c>
      <c r="E42" s="36" t="s">
        <v>2</v>
      </c>
      <c r="F42" s="38" t="str">
        <f>IF(D43&gt;=D42,"Le diamètre intérieur doit être supérieur au diamètre extérieur !",IF(B42&gt;D43,"Le diamètre intérieur du tube extérieur doit être supérieur au diamètre extérieur du tube intérieur !",""))</f>
        <v/>
      </c>
      <c r="I42" s="7"/>
      <c r="J42" s="7"/>
      <c r="K42" s="5"/>
      <c r="L42" s="5"/>
    </row>
    <row r="43" spans="1:12" x14ac:dyDescent="0.25">
      <c r="A43" s="30" t="s">
        <v>10</v>
      </c>
      <c r="B43" s="32">
        <v>0.1</v>
      </c>
      <c r="C43" s="36" t="str">
        <f>C42</f>
        <v>m</v>
      </c>
      <c r="D43" s="32">
        <v>0.2</v>
      </c>
      <c r="E43" s="36" t="str">
        <f>E42</f>
        <v>m</v>
      </c>
      <c r="F43" s="38" t="str">
        <f>IF(B43&gt;=B42,"Le diamètre intérieur doit être supérieur au diamètre extérieur !","")</f>
        <v/>
      </c>
      <c r="G43" s="21"/>
      <c r="H43" s="21"/>
      <c r="I43" s="21"/>
      <c r="J43" s="21"/>
      <c r="K43" s="21"/>
      <c r="L43" s="21"/>
    </row>
    <row r="44" spans="1:12" x14ac:dyDescent="0.25">
      <c r="A44" s="30" t="s">
        <v>43</v>
      </c>
      <c r="B44" s="31">
        <f>IF(C44=J45,B47,IF(C44=J46,B47*100,IF(C44=J47,B47*1000)))</f>
        <v>9.999999999999995E-3</v>
      </c>
      <c r="C44" s="36" t="str">
        <f>C43</f>
        <v>m</v>
      </c>
      <c r="D44" s="31">
        <f>D42-D43</f>
        <v>9.9999999999999811E-3</v>
      </c>
      <c r="E44" s="36" t="str">
        <f>E43</f>
        <v>m</v>
      </c>
      <c r="F44" s="21"/>
      <c r="G44" s="21"/>
      <c r="H44" s="21"/>
      <c r="I44" s="21"/>
      <c r="J44" s="21"/>
      <c r="K44" s="21"/>
      <c r="L44" s="21"/>
    </row>
    <row r="45" spans="1:12" x14ac:dyDescent="0.25">
      <c r="A45" s="30" t="s">
        <v>9</v>
      </c>
      <c r="B45" s="31">
        <f>IF(C42=J$45,B42,IF(C42=J$46,B42/100,IF(C42=J$47,B42/1000)))</f>
        <v>0.11</v>
      </c>
      <c r="C45" s="33" t="s">
        <v>2</v>
      </c>
      <c r="D45" s="31">
        <f>IF(E42=J$45,D42,IF(E42=J$46,D42/100,IF(E42=J$47,D42/1000)))</f>
        <v>0.21</v>
      </c>
      <c r="E45" s="33" t="s">
        <v>2</v>
      </c>
      <c r="G45" s="21"/>
      <c r="H45" s="21"/>
      <c r="I45" s="21"/>
      <c r="J45" s="21" t="s">
        <v>2</v>
      </c>
      <c r="K45" s="21"/>
      <c r="L45" s="21"/>
    </row>
    <row r="46" spans="1:12" x14ac:dyDescent="0.25">
      <c r="A46" s="30" t="s">
        <v>10</v>
      </c>
      <c r="B46" s="31">
        <f>IF(C43=J$45,B43,IF(C43=J$46,B43/100,IF(C43=J$47,B43/1000)))</f>
        <v>0.1</v>
      </c>
      <c r="C46" s="33" t="s">
        <v>2</v>
      </c>
      <c r="D46" s="31">
        <f>IF(E43=J$45,D43,IF(E43=J$46,D43/100,IF(E43=J$47,D43/1000)))</f>
        <v>0.2</v>
      </c>
      <c r="E46" s="33" t="s">
        <v>2</v>
      </c>
      <c r="G46" s="21"/>
      <c r="J46" t="s">
        <v>41</v>
      </c>
    </row>
    <row r="47" spans="1:12" x14ac:dyDescent="0.25">
      <c r="A47" s="30" t="s">
        <v>11</v>
      </c>
      <c r="B47" s="31">
        <f>B45-B46</f>
        <v>9.999999999999995E-3</v>
      </c>
      <c r="C47" s="33" t="s">
        <v>2</v>
      </c>
      <c r="D47" s="31">
        <f>D45-D46</f>
        <v>9.9999999999999811E-3</v>
      </c>
      <c r="E47" s="33" t="s">
        <v>2</v>
      </c>
      <c r="G47" s="21"/>
      <c r="J47" t="s">
        <v>42</v>
      </c>
    </row>
    <row r="48" spans="1:12" ht="17.25" x14ac:dyDescent="0.25">
      <c r="A48" s="30" t="s">
        <v>81</v>
      </c>
      <c r="B48" s="60">
        <f>PI()*(POWER(B46,2))/4</f>
        <v>7.8539816339744835E-3</v>
      </c>
      <c r="C48" s="33" t="s">
        <v>49</v>
      </c>
      <c r="D48" s="60">
        <f>(PI()*(POWER(D46,2))/4)-(PI()*(POWER(B45,2))/4)</f>
        <v>2.191260875878881E-2</v>
      </c>
      <c r="E48" s="33" t="s">
        <v>49</v>
      </c>
      <c r="G48" s="21"/>
    </row>
    <row r="49" spans="1:15" x14ac:dyDescent="0.25">
      <c r="G49" s="21"/>
    </row>
    <row r="50" spans="1:15" ht="17.25" x14ac:dyDescent="0.25">
      <c r="A50" s="30" t="s">
        <v>104</v>
      </c>
      <c r="B50" s="43">
        <f>0.003</f>
        <v>3.0000000000000001E-3</v>
      </c>
      <c r="C50" s="33" t="s">
        <v>106</v>
      </c>
    </row>
    <row r="51" spans="1:15" ht="17.25" x14ac:dyDescent="0.25">
      <c r="A51" s="30" t="s">
        <v>105</v>
      </c>
      <c r="B51" s="43">
        <f>0.003</f>
        <v>3.0000000000000001E-3</v>
      </c>
      <c r="C51" s="33" t="s">
        <v>106</v>
      </c>
      <c r="G51" s="21"/>
      <c r="H51" s="23"/>
      <c r="I51" s="23"/>
      <c r="J51" s="24"/>
      <c r="K51" s="23"/>
      <c r="L51" s="8"/>
    </row>
    <row r="52" spans="1:15" x14ac:dyDescent="0.25">
      <c r="A52" s="30" t="s">
        <v>17</v>
      </c>
      <c r="B52" s="44" t="e">
        <f>F52</f>
        <v>#NUM!</v>
      </c>
      <c r="C52" s="51" t="s">
        <v>18</v>
      </c>
      <c r="D52" s="66" t="s">
        <v>76</v>
      </c>
      <c r="E52" s="66"/>
      <c r="F52" s="31" t="e">
        <f>0.1*(-4.7127+(1.428*(D39))-(0.0051049*(POWER(D39,2)))+(0.000006518*(POWER(D39,3))))</f>
        <v>#NUM!</v>
      </c>
      <c r="L52" s="27"/>
    </row>
    <row r="53" spans="1:15" x14ac:dyDescent="0.25">
      <c r="G53" s="5"/>
      <c r="J53" s="26"/>
      <c r="K53" s="14"/>
      <c r="L53" s="27"/>
      <c r="M53" s="15"/>
      <c r="N53" s="21"/>
      <c r="O53"/>
    </row>
    <row r="54" spans="1:15" x14ac:dyDescent="0.25">
      <c r="A54" s="30" t="s">
        <v>78</v>
      </c>
      <c r="B54" s="31">
        <f>(B45-B46)/LN(B45/B46)</f>
        <v>0.10492058687257078</v>
      </c>
      <c r="C54" s="33" t="s">
        <v>2</v>
      </c>
      <c r="G54" s="5"/>
      <c r="K54" s="14"/>
      <c r="L54" s="59"/>
      <c r="M54" s="63"/>
      <c r="N54" s="21"/>
    </row>
    <row r="55" spans="1:15" x14ac:dyDescent="0.25">
      <c r="A55" s="30" t="s">
        <v>12</v>
      </c>
      <c r="B55" s="31">
        <f>((D46*D46)-(B45*B45))/B45</f>
        <v>0.25363636363636372</v>
      </c>
      <c r="C55" s="33" t="s">
        <v>2</v>
      </c>
      <c r="G55" s="5"/>
      <c r="K55" s="14"/>
      <c r="L55" s="59"/>
      <c r="M55" s="63"/>
      <c r="N55" s="21"/>
    </row>
    <row r="56" spans="1:15" x14ac:dyDescent="0.25">
      <c r="A56" s="30" t="s">
        <v>79</v>
      </c>
      <c r="B56" s="31">
        <f>D46-B45</f>
        <v>9.0000000000000011E-2</v>
      </c>
      <c r="C56" s="33" t="s">
        <v>2</v>
      </c>
      <c r="G56" s="5"/>
      <c r="J56" s="26"/>
      <c r="K56" s="14"/>
      <c r="L56" s="59"/>
      <c r="M56" s="63"/>
      <c r="N56" s="21"/>
    </row>
    <row r="57" spans="1:15" x14ac:dyDescent="0.25">
      <c r="G57" s="5"/>
      <c r="J57" s="26"/>
      <c r="K57" s="14"/>
      <c r="L57" s="59"/>
      <c r="M57" s="63"/>
      <c r="N57" s="21"/>
    </row>
    <row r="58" spans="1:15" x14ac:dyDescent="0.25">
      <c r="A58" s="30" t="s">
        <v>77</v>
      </c>
      <c r="B58" s="67" t="s">
        <v>15</v>
      </c>
      <c r="C58" s="68"/>
      <c r="G58" s="5"/>
      <c r="J58" t="s">
        <v>15</v>
      </c>
      <c r="K58" s="14"/>
      <c r="L58" s="59"/>
      <c r="M58" s="63"/>
      <c r="N58" s="21"/>
    </row>
    <row r="59" spans="1:15" x14ac:dyDescent="0.25">
      <c r="G59" s="5"/>
      <c r="J59" t="s">
        <v>14</v>
      </c>
      <c r="K59" s="14"/>
      <c r="L59" s="59"/>
      <c r="M59" s="63"/>
      <c r="N59" s="21"/>
    </row>
    <row r="60" spans="1:15" x14ac:dyDescent="0.25">
      <c r="A60" s="21"/>
      <c r="B60" s="64" t="s">
        <v>15</v>
      </c>
      <c r="C60" s="65"/>
      <c r="D60" s="64" t="s">
        <v>14</v>
      </c>
      <c r="E60" s="65"/>
      <c r="H60" s="21"/>
      <c r="I60" s="21"/>
      <c r="L60" s="59"/>
      <c r="M60" s="63"/>
      <c r="N60" s="21"/>
    </row>
    <row r="61" spans="1:15" ht="17.25" x14ac:dyDescent="0.25">
      <c r="A61" s="30" t="s">
        <v>13</v>
      </c>
      <c r="B61" s="31">
        <f>IF(B58=J58,B15/B48,IF(B58=J59,D15/B48))</f>
        <v>127.32395447351627</v>
      </c>
      <c r="C61" s="33" t="s">
        <v>58</v>
      </c>
      <c r="D61" s="31">
        <f>IF(B58=J58,D15/D48,IF(B58=J59,B15/D48))</f>
        <v>27217.206612188205</v>
      </c>
      <c r="E61" s="33" t="s">
        <v>58</v>
      </c>
      <c r="H61" s="21"/>
      <c r="I61" s="21"/>
      <c r="L61" s="59"/>
      <c r="M61" s="63"/>
      <c r="N61" s="21"/>
    </row>
    <row r="62" spans="1:15" x14ac:dyDescent="0.25">
      <c r="A62" s="30" t="s">
        <v>25</v>
      </c>
      <c r="B62" s="41">
        <f>IF(B58=J58,(B61*B46)/(B24*3600),IF(B58=J59,(B61*B46)/E24*3600))</f>
        <v>3.5017589239140889E-2</v>
      </c>
      <c r="C62" s="33" t="s">
        <v>53</v>
      </c>
      <c r="D62" s="41">
        <f>IF(B58=J58,(D61*B55)/(E24*3600),IF(B58=J59,(D61*B55)/(B24*3600)))</f>
        <v>3804.714127786051</v>
      </c>
      <c r="E62" s="33" t="s">
        <v>53</v>
      </c>
      <c r="H62" s="21"/>
      <c r="I62" s="21"/>
      <c r="L62" s="59"/>
      <c r="M62" s="63"/>
      <c r="N62" s="21"/>
    </row>
    <row r="63" spans="1:15" x14ac:dyDescent="0.25">
      <c r="A63" s="30" t="s">
        <v>50</v>
      </c>
      <c r="B63" s="31">
        <f>IF(B58=J58,(B19*B24)/B20,IF(B58=J59,(D19*E24)/D20))</f>
        <v>804.15238095238089</v>
      </c>
      <c r="C63" s="33" t="s">
        <v>53</v>
      </c>
      <c r="D63" s="31">
        <f>IF(B58=J58,(D19*E24)/D20,IF(B58=J59,(B19*B24)/B20))</f>
        <v>3.7419538188277093</v>
      </c>
      <c r="E63" s="33" t="s">
        <v>53</v>
      </c>
      <c r="H63" s="21"/>
      <c r="I63" s="21"/>
      <c r="L63" s="59"/>
      <c r="M63" s="63"/>
      <c r="N63" s="21"/>
    </row>
    <row r="64" spans="1:15" x14ac:dyDescent="0.25">
      <c r="A64" s="30" t="s">
        <v>51</v>
      </c>
      <c r="B64" s="31">
        <f>0.023*(POWER(B62,0.8))*(POWER(B63,0.3))</f>
        <v>1.1715432791360253E-2</v>
      </c>
      <c r="C64" s="33" t="s">
        <v>53</v>
      </c>
      <c r="D64" s="31">
        <f>0.023*(POWER(D62,0.8))*(POWER(D63,0.3))</f>
        <v>24.998559727962135</v>
      </c>
      <c r="E64" s="33" t="s">
        <v>53</v>
      </c>
      <c r="L64" s="59"/>
      <c r="M64" s="63"/>
      <c r="N64" s="21"/>
    </row>
    <row r="65" spans="1:24" ht="17.25" x14ac:dyDescent="0.25">
      <c r="A65" s="30" t="s">
        <v>52</v>
      </c>
      <c r="B65" s="31">
        <f>IF(B58=J58,(B64*B20)/B46,IF(B58=J59,(B64*D20)/B46))</f>
        <v>6.1506022154641328E-2</v>
      </c>
      <c r="C65" s="33" t="s">
        <v>57</v>
      </c>
      <c r="D65" s="31">
        <f>IF(B58=J58,(D64*D20)/B55,IF(B58=J59,(D64*B20)/B55))</f>
        <v>55.489634550275788</v>
      </c>
      <c r="E65" s="33" t="s">
        <v>57</v>
      </c>
      <c r="K65" s="21"/>
      <c r="L65" s="59"/>
      <c r="M65" s="63"/>
      <c r="N65" s="21"/>
    </row>
    <row r="66" spans="1:24" x14ac:dyDescent="0.25">
      <c r="A66" s="25"/>
      <c r="B66" s="24"/>
      <c r="F66" s="16"/>
      <c r="G66" s="21"/>
      <c r="H66" s="21"/>
      <c r="I66" s="21"/>
      <c r="J66" s="21"/>
      <c r="K66" s="21"/>
      <c r="L66" s="59"/>
      <c r="M66" s="63"/>
      <c r="N66" s="21"/>
    </row>
    <row r="67" spans="1:24" ht="17.25" x14ac:dyDescent="0.25">
      <c r="A67" s="30" t="s">
        <v>21</v>
      </c>
      <c r="B67" s="31" t="e">
        <f>1/(1/D65+B50+(B47*B45)/(B52*B54)+B45/(B65*B46)+B51*B54/B46)</f>
        <v>#NUM!</v>
      </c>
      <c r="C67" s="33" t="s">
        <v>57</v>
      </c>
      <c r="H67" s="21"/>
      <c r="I67" s="21"/>
      <c r="J67" s="21"/>
      <c r="K67" s="21"/>
      <c r="L67" s="59"/>
      <c r="M67" s="63"/>
      <c r="N67" s="21"/>
    </row>
    <row r="68" spans="1:24" x14ac:dyDescent="0.25">
      <c r="H68" s="21"/>
      <c r="I68" s="21"/>
      <c r="J68" s="21"/>
      <c r="K68" s="21"/>
      <c r="L68" s="59"/>
      <c r="M68" s="63"/>
      <c r="N68" s="21"/>
    </row>
    <row r="69" spans="1:24" ht="17.25" x14ac:dyDescent="0.25">
      <c r="A69" s="30" t="s">
        <v>20</v>
      </c>
      <c r="B69" s="31" t="e">
        <f>B33/(B67*B39)*B31</f>
        <v>#NUM!</v>
      </c>
      <c r="C69" s="33" t="s">
        <v>59</v>
      </c>
      <c r="D69" s="23"/>
      <c r="E69" s="8"/>
      <c r="F69" s="16"/>
      <c r="G69" s="21"/>
      <c r="H69" s="21"/>
      <c r="I69" s="21"/>
      <c r="J69" s="21"/>
      <c r="K69" s="21"/>
      <c r="L69" s="59"/>
      <c r="M69" s="63"/>
      <c r="N69" s="21"/>
    </row>
    <row r="70" spans="1:24" x14ac:dyDescent="0.25">
      <c r="A70" s="30" t="s">
        <v>19</v>
      </c>
      <c r="B70" s="31" t="e">
        <f>B69/(PI()*B45)</f>
        <v>#NUM!</v>
      </c>
      <c r="C70" s="33" t="s">
        <v>2</v>
      </c>
      <c r="H70" s="21"/>
      <c r="I70" s="21"/>
      <c r="K70" s="21"/>
      <c r="L70" s="59"/>
      <c r="M70" s="63"/>
      <c r="N70" s="21"/>
    </row>
    <row r="71" spans="1:24" x14ac:dyDescent="0.25">
      <c r="D71" s="23"/>
      <c r="E71" s="8"/>
      <c r="F71" s="16"/>
      <c r="G71" s="21"/>
      <c r="H71" s="21"/>
      <c r="I71" s="21"/>
      <c r="K71" s="21"/>
      <c r="L71" s="59"/>
      <c r="M71" s="63"/>
      <c r="N71" s="21"/>
    </row>
    <row r="72" spans="1:24" ht="15.75" x14ac:dyDescent="0.25">
      <c r="A72" s="53" t="s">
        <v>60</v>
      </c>
      <c r="B72" s="52"/>
      <c r="C72" s="52"/>
      <c r="D72" s="52"/>
      <c r="E72" s="52"/>
      <c r="F72" s="52"/>
      <c r="G72" s="52"/>
      <c r="H72" s="21"/>
      <c r="I72" s="21"/>
      <c r="J72" s="21"/>
      <c r="K72" s="21"/>
      <c r="L72" s="59"/>
      <c r="M72" s="63"/>
      <c r="N72" s="21"/>
    </row>
    <row r="73" spans="1:24" ht="9.75" customHeight="1" x14ac:dyDescent="0.25">
      <c r="A73" s="54"/>
      <c r="B73" s="2"/>
      <c r="C73" s="2"/>
      <c r="D73" s="2"/>
      <c r="E73" s="2"/>
      <c r="F73" s="2"/>
      <c r="G73" s="2"/>
      <c r="H73" s="21"/>
      <c r="I73" s="21"/>
      <c r="J73" s="21"/>
      <c r="K73" s="21"/>
      <c r="L73" s="59"/>
      <c r="M73" s="63"/>
      <c r="N73" s="21"/>
    </row>
    <row r="74" spans="1:24" x14ac:dyDescent="0.25">
      <c r="A74" s="22" t="s">
        <v>15</v>
      </c>
      <c r="B74" s="64" t="s">
        <v>15</v>
      </c>
      <c r="C74" s="65"/>
      <c r="D74" s="64" t="s">
        <v>14</v>
      </c>
      <c r="E74" s="65"/>
      <c r="F74" s="16"/>
      <c r="G74" s="21"/>
      <c r="H74" s="21"/>
      <c r="I74" s="21"/>
      <c r="J74" s="21"/>
      <c r="K74" s="21"/>
      <c r="L74" s="59"/>
      <c r="M74" s="63"/>
      <c r="N74" s="21"/>
    </row>
    <row r="75" spans="1:24" x14ac:dyDescent="0.25">
      <c r="A75" s="55" t="s">
        <v>23</v>
      </c>
      <c r="B75" s="49">
        <f>64/B77</f>
        <v>1827.6529421523985</v>
      </c>
      <c r="C75" s="33" t="s">
        <v>53</v>
      </c>
      <c r="D75" s="31">
        <f>64/D77</f>
        <v>4.740530570915439E-2</v>
      </c>
      <c r="E75" s="33"/>
      <c r="F75" s="16"/>
      <c r="G75" s="21"/>
      <c r="H75" s="21"/>
      <c r="I75" s="21"/>
      <c r="J75" s="21"/>
      <c r="K75" s="21"/>
      <c r="L75" s="59"/>
      <c r="M75" s="63"/>
      <c r="N75" s="21"/>
    </row>
    <row r="76" spans="1:24" x14ac:dyDescent="0.25">
      <c r="A76" s="30" t="s">
        <v>24</v>
      </c>
      <c r="B76" s="41">
        <f>IF(B58=J58,B16/B48/3600,IF(B58=J59,(D16/B48/3600)))</f>
        <v>3.5581252647416799E-5</v>
      </c>
      <c r="C76" s="33" t="s">
        <v>5</v>
      </c>
      <c r="D76" s="41">
        <f>IF(B58=J58,D16/D48/3600,IF(B58=J59,B16/D48/3600))</f>
        <v>7.6059709960284499E-3</v>
      </c>
      <c r="E76" s="33" t="s">
        <v>5</v>
      </c>
      <c r="F76" s="16"/>
      <c r="G76" s="21"/>
      <c r="H76" s="61"/>
      <c r="I76" s="21"/>
      <c r="J76" s="21"/>
      <c r="K76" s="21"/>
      <c r="L76" s="59"/>
      <c r="M76" s="63"/>
      <c r="N76" s="21"/>
    </row>
    <row r="77" spans="1:24" x14ac:dyDescent="0.25">
      <c r="A77" s="30" t="s">
        <v>25</v>
      </c>
      <c r="B77" s="41">
        <f>IF(B58=J58,(B46*B76)/B25,IF(B58=J59,(B46*B76)/E25))</f>
        <v>3.5017589239140882E-2</v>
      </c>
      <c r="C77" s="33" t="s">
        <v>53</v>
      </c>
      <c r="D77" s="31">
        <f>IF(B58=J58,(B56*D76)/E25,IF(B58=J59,((B56*D76)/B25)))</f>
        <v>1350.0598517950498</v>
      </c>
      <c r="E77" s="33"/>
      <c r="F77" s="16"/>
      <c r="G77" s="21"/>
      <c r="H77" s="21"/>
      <c r="I77" s="21"/>
      <c r="J77" s="21"/>
      <c r="K77" s="21"/>
      <c r="L77" s="59"/>
      <c r="M77" s="63"/>
      <c r="N77" s="21"/>
    </row>
    <row r="78" spans="1:24" x14ac:dyDescent="0.25">
      <c r="A78" s="30" t="s">
        <v>82</v>
      </c>
      <c r="B78" s="31" t="e">
        <f>IF(B58=J58,(B75*(B70*(POWER(B76,2))))/(B46*2)*B14,IF(B58=J59,(B75*(B70*(POWER(B76,2))))/(B46*2)*D14))</f>
        <v>#NUM!</v>
      </c>
      <c r="C78" s="33" t="s">
        <v>1</v>
      </c>
      <c r="D78" s="31" t="e">
        <f>IF(B58=J58,((D75*(2*B70)*(POWER(D76,2)))/(B56*2)+4*(D76*D76)*B56*B70/(2))/D14,IF(B58=J59,((D75*(2*B70)*(POWER(D76,2)))/(B56*2)+4*(D76*D76)*B56*B70/(2))/B14))</f>
        <v>#NUM!</v>
      </c>
      <c r="E78" s="33" t="s">
        <v>1</v>
      </c>
      <c r="G78" s="21"/>
      <c r="H78" s="21"/>
      <c r="I78" s="21"/>
      <c r="J78" s="21"/>
      <c r="K78" s="21"/>
      <c r="L78" s="59"/>
      <c r="M78" s="63"/>
      <c r="N78" s="21"/>
      <c r="Q78" s="5"/>
      <c r="R78" s="21"/>
      <c r="S78" s="5"/>
      <c r="T78" s="23"/>
      <c r="U78" s="28"/>
      <c r="V78" s="23"/>
      <c r="W78" s="8"/>
      <c r="X78" s="16"/>
    </row>
    <row r="79" spans="1:24" x14ac:dyDescent="0.25">
      <c r="A79" s="5"/>
      <c r="B79" s="5"/>
      <c r="C79" s="29"/>
      <c r="D79" s="23"/>
      <c r="E79" s="8"/>
      <c r="F79" s="16"/>
      <c r="G79" s="21"/>
      <c r="H79" s="21"/>
      <c r="I79" s="21"/>
      <c r="J79" s="21"/>
      <c r="K79" s="21"/>
      <c r="L79" s="59"/>
      <c r="M79" s="63"/>
      <c r="N79" s="21"/>
    </row>
    <row r="80" spans="1:24" x14ac:dyDescent="0.25">
      <c r="A80" s="46" t="s">
        <v>94</v>
      </c>
      <c r="B80" s="58">
        <v>0.8</v>
      </c>
      <c r="F80" s="16"/>
      <c r="G80" s="5"/>
      <c r="H80" s="5"/>
      <c r="I80" s="5"/>
      <c r="J80" s="5"/>
      <c r="K80" s="5"/>
      <c r="L80" s="59"/>
      <c r="M80" s="63"/>
      <c r="N80" s="21"/>
    </row>
    <row r="81" spans="1:14" x14ac:dyDescent="0.25">
      <c r="F81" s="16"/>
      <c r="G81" s="5"/>
      <c r="H81" s="5"/>
      <c r="I81" s="5"/>
      <c r="J81" s="5"/>
      <c r="K81" s="5"/>
      <c r="L81" s="59"/>
      <c r="M81" s="63"/>
      <c r="N81" s="21"/>
    </row>
    <row r="82" spans="1:14" x14ac:dyDescent="0.25">
      <c r="A82" s="46" t="s">
        <v>95</v>
      </c>
      <c r="B82" s="41" t="e">
        <f>IF(B58=J58,B78*B12/3600/B80+D78*D12/3600/B80,IF(B58=J59,B78*D12/3600/B80+D78*B12/3600/B80))</f>
        <v>#NUM!</v>
      </c>
      <c r="C82" s="33" t="s">
        <v>4</v>
      </c>
      <c r="F82" s="16"/>
      <c r="G82" s="5"/>
      <c r="H82" s="5"/>
      <c r="I82" s="5"/>
      <c r="J82" s="5"/>
      <c r="K82" s="5"/>
      <c r="L82" s="59"/>
      <c r="M82" s="63"/>
      <c r="N82" s="21"/>
    </row>
    <row r="83" spans="1:14" x14ac:dyDescent="0.25">
      <c r="L83" s="59"/>
      <c r="M83" s="63"/>
      <c r="N83" s="21"/>
    </row>
    <row r="84" spans="1:14" x14ac:dyDescent="0.25">
      <c r="L84" s="59"/>
      <c r="M84" s="63"/>
      <c r="N84" s="21"/>
    </row>
    <row r="85" spans="1:14" x14ac:dyDescent="0.25">
      <c r="L85" s="59"/>
      <c r="M85" s="63"/>
      <c r="N85" s="21"/>
    </row>
    <row r="86" spans="1:14" x14ac:dyDescent="0.25">
      <c r="L86" s="59"/>
      <c r="M86" s="63"/>
      <c r="N86" s="21"/>
    </row>
    <row r="87" spans="1:14" x14ac:dyDescent="0.25">
      <c r="L87" s="59"/>
      <c r="M87" s="63"/>
      <c r="N87" s="21"/>
    </row>
    <row r="88" spans="1:14" x14ac:dyDescent="0.25">
      <c r="L88" s="59"/>
      <c r="M88" s="63"/>
      <c r="N88" s="21"/>
    </row>
    <row r="89" spans="1:14" x14ac:dyDescent="0.25">
      <c r="L89" s="59"/>
      <c r="M89" s="63"/>
      <c r="N89" s="21"/>
    </row>
    <row r="90" spans="1:14" x14ac:dyDescent="0.25">
      <c r="L90" s="59"/>
      <c r="M90" s="63"/>
      <c r="N90" s="21"/>
    </row>
    <row r="91" spans="1:14" x14ac:dyDescent="0.25">
      <c r="L91" s="59"/>
      <c r="M91" s="63"/>
      <c r="N91" s="21"/>
    </row>
    <row r="92" spans="1:14" x14ac:dyDescent="0.25">
      <c r="L92" s="59"/>
      <c r="M92" s="63"/>
      <c r="N92" s="21"/>
    </row>
    <row r="93" spans="1:14" x14ac:dyDescent="0.25">
      <c r="L93" s="59"/>
      <c r="M93" s="63"/>
      <c r="N93" s="21"/>
    </row>
    <row r="94" spans="1:14" x14ac:dyDescent="0.25">
      <c r="L94" s="59"/>
      <c r="M94" s="63"/>
      <c r="N94" s="21"/>
    </row>
    <row r="95" spans="1:14" x14ac:dyDescent="0.25">
      <c r="L95" s="59"/>
      <c r="M95" s="63"/>
      <c r="N95" s="21"/>
    </row>
    <row r="96" spans="1:14" x14ac:dyDescent="0.25">
      <c r="L96" s="59"/>
      <c r="M96" s="63"/>
      <c r="N96" s="21"/>
    </row>
    <row r="97" spans="12:14" x14ac:dyDescent="0.25">
      <c r="L97" s="59"/>
      <c r="M97" s="63"/>
      <c r="N97" s="21"/>
    </row>
    <row r="98" spans="12:14" x14ac:dyDescent="0.25">
      <c r="L98" s="59"/>
      <c r="M98" s="63"/>
      <c r="N98" s="21"/>
    </row>
    <row r="99" spans="12:14" x14ac:dyDescent="0.25">
      <c r="L99" s="59"/>
      <c r="M99" s="63"/>
      <c r="N99" s="21"/>
    </row>
    <row r="100" spans="12:14" x14ac:dyDescent="0.25">
      <c r="L100" s="59"/>
      <c r="M100" s="63"/>
      <c r="N100" s="21"/>
    </row>
    <row r="101" spans="12:14" x14ac:dyDescent="0.25">
      <c r="L101" s="59"/>
      <c r="M101" s="63"/>
      <c r="N101" s="21"/>
    </row>
    <row r="102" spans="12:14" x14ac:dyDescent="0.25">
      <c r="L102" s="59"/>
      <c r="M102" s="63"/>
      <c r="N102" s="21"/>
    </row>
    <row r="103" spans="12:14" x14ac:dyDescent="0.25">
      <c r="L103" s="59"/>
      <c r="M103" s="63"/>
      <c r="N103" s="21"/>
    </row>
    <row r="104" spans="12:14" x14ac:dyDescent="0.25">
      <c r="L104" s="59"/>
      <c r="M104" s="63"/>
      <c r="N104" s="21"/>
    </row>
    <row r="105" spans="12:14" x14ac:dyDescent="0.25">
      <c r="L105" s="59"/>
      <c r="M105" s="63"/>
      <c r="N105" s="21"/>
    </row>
    <row r="106" spans="12:14" x14ac:dyDescent="0.25">
      <c r="L106" s="59"/>
      <c r="M106" s="63"/>
      <c r="N106" s="21"/>
    </row>
    <row r="107" spans="12:14" x14ac:dyDescent="0.25">
      <c r="L107" s="59"/>
      <c r="M107" s="63"/>
      <c r="N107" s="21"/>
    </row>
    <row r="108" spans="12:14" x14ac:dyDescent="0.25">
      <c r="L108" s="59"/>
      <c r="M108" s="63"/>
      <c r="N108" s="21"/>
    </row>
    <row r="109" spans="12:14" x14ac:dyDescent="0.25">
      <c r="L109" s="59"/>
      <c r="M109" s="63"/>
      <c r="N109" s="21"/>
    </row>
    <row r="110" spans="12:14" x14ac:dyDescent="0.25">
      <c r="L110" s="59"/>
      <c r="M110" s="63"/>
      <c r="N110" s="21"/>
    </row>
    <row r="111" spans="12:14" x14ac:dyDescent="0.25">
      <c r="L111" s="59"/>
      <c r="M111" s="63"/>
      <c r="N111" s="21"/>
    </row>
    <row r="112" spans="12:14" x14ac:dyDescent="0.25">
      <c r="L112" s="59"/>
      <c r="M112" s="63"/>
      <c r="N112" s="21"/>
    </row>
    <row r="113" spans="12:14" x14ac:dyDescent="0.25">
      <c r="L113" s="59"/>
      <c r="M113" s="63"/>
      <c r="N113" s="21"/>
    </row>
    <row r="114" spans="12:14" x14ac:dyDescent="0.25">
      <c r="L114" s="59"/>
      <c r="M114" s="63"/>
      <c r="N114" s="21"/>
    </row>
    <row r="115" spans="12:14" x14ac:dyDescent="0.25">
      <c r="L115" s="59"/>
      <c r="M115" s="63"/>
      <c r="N115" s="21"/>
    </row>
    <row r="116" spans="12:14" x14ac:dyDescent="0.25">
      <c r="L116" s="59"/>
      <c r="M116" s="63"/>
      <c r="N116" s="21"/>
    </row>
    <row r="117" spans="12:14" x14ac:dyDescent="0.25">
      <c r="L117" s="59"/>
      <c r="M117" s="63"/>
      <c r="N117" s="21"/>
    </row>
    <row r="118" spans="12:14" x14ac:dyDescent="0.25">
      <c r="L118" s="59"/>
      <c r="M118" s="63"/>
      <c r="N118" s="21"/>
    </row>
    <row r="119" spans="12:14" x14ac:dyDescent="0.25">
      <c r="L119" s="59"/>
      <c r="M119" s="63"/>
      <c r="N119" s="21"/>
    </row>
    <row r="120" spans="12:14" x14ac:dyDescent="0.25">
      <c r="L120" s="59"/>
      <c r="M120" s="63"/>
      <c r="N120" s="21"/>
    </row>
    <row r="121" spans="12:14" x14ac:dyDescent="0.25">
      <c r="L121" s="59"/>
      <c r="M121" s="63"/>
      <c r="N121" s="21"/>
    </row>
    <row r="122" spans="12:14" x14ac:dyDescent="0.25">
      <c r="L122" s="59"/>
      <c r="M122" s="63"/>
      <c r="N122" s="21"/>
    </row>
    <row r="123" spans="12:14" x14ac:dyDescent="0.25">
      <c r="L123" s="59"/>
      <c r="M123" s="63"/>
      <c r="N123" s="21"/>
    </row>
    <row r="124" spans="12:14" x14ac:dyDescent="0.25">
      <c r="L124" s="59"/>
      <c r="M124" s="63"/>
      <c r="N124" s="21"/>
    </row>
    <row r="125" spans="12:14" x14ac:dyDescent="0.25">
      <c r="L125" s="59"/>
      <c r="M125" s="63"/>
      <c r="N125" s="21"/>
    </row>
    <row r="126" spans="12:14" x14ac:dyDescent="0.25">
      <c r="L126" s="59"/>
      <c r="M126" s="63"/>
      <c r="N126" s="21"/>
    </row>
    <row r="127" spans="12:14" x14ac:dyDescent="0.25">
      <c r="L127" s="59"/>
      <c r="M127" s="63"/>
      <c r="N127" s="21"/>
    </row>
    <row r="128" spans="12:14" x14ac:dyDescent="0.25">
      <c r="L128" s="59"/>
      <c r="M128" s="63"/>
      <c r="N128" s="21"/>
    </row>
    <row r="129" spans="12:14" x14ac:dyDescent="0.25">
      <c r="L129" s="59"/>
      <c r="M129" s="63"/>
      <c r="N129" s="21"/>
    </row>
    <row r="130" spans="12:14" x14ac:dyDescent="0.25">
      <c r="L130" s="59"/>
      <c r="M130" s="63"/>
      <c r="N130" s="21"/>
    </row>
    <row r="131" spans="12:14" x14ac:dyDescent="0.25">
      <c r="L131" s="59"/>
      <c r="M131" s="63"/>
      <c r="N131" s="21"/>
    </row>
    <row r="132" spans="12:14" x14ac:dyDescent="0.25">
      <c r="L132" s="59"/>
      <c r="M132" s="63"/>
      <c r="N132" s="21"/>
    </row>
    <row r="133" spans="12:14" x14ac:dyDescent="0.25">
      <c r="L133" s="59"/>
      <c r="M133" s="63"/>
      <c r="N133" s="21"/>
    </row>
    <row r="134" spans="12:14" x14ac:dyDescent="0.25">
      <c r="L134" s="59"/>
      <c r="M134" s="63"/>
      <c r="N134" s="21"/>
    </row>
    <row r="135" spans="12:14" x14ac:dyDescent="0.25">
      <c r="L135" s="59"/>
      <c r="M135" s="63"/>
      <c r="N135" s="21"/>
    </row>
    <row r="136" spans="12:14" x14ac:dyDescent="0.25">
      <c r="L136" s="59"/>
      <c r="M136" s="63"/>
      <c r="N136" s="21"/>
    </row>
    <row r="137" spans="12:14" x14ac:dyDescent="0.25">
      <c r="L137" s="59"/>
      <c r="M137" s="63"/>
      <c r="N137" s="21"/>
    </row>
    <row r="138" spans="12:14" x14ac:dyDescent="0.25">
      <c r="L138" s="59"/>
      <c r="M138" s="63"/>
      <c r="N138" s="21"/>
    </row>
    <row r="139" spans="12:14" x14ac:dyDescent="0.25">
      <c r="L139" s="59"/>
      <c r="M139" s="63"/>
      <c r="N139" s="21"/>
    </row>
    <row r="140" spans="12:14" x14ac:dyDescent="0.25">
      <c r="L140" s="59"/>
      <c r="M140" s="63"/>
      <c r="N140" s="21"/>
    </row>
    <row r="141" spans="12:14" x14ac:dyDescent="0.25">
      <c r="L141" s="59"/>
      <c r="M141" s="63"/>
      <c r="N141" s="21"/>
    </row>
    <row r="142" spans="12:14" x14ac:dyDescent="0.25">
      <c r="L142" s="59"/>
      <c r="M142" s="63"/>
      <c r="N142" s="21"/>
    </row>
    <row r="143" spans="12:14" x14ac:dyDescent="0.25">
      <c r="L143" s="59"/>
      <c r="M143" s="63"/>
      <c r="N143" s="21"/>
    </row>
    <row r="144" spans="12:14" x14ac:dyDescent="0.25">
      <c r="L144" s="59"/>
      <c r="M144" s="63"/>
      <c r="N144" s="21"/>
    </row>
    <row r="145" spans="12:14" x14ac:dyDescent="0.25">
      <c r="L145" s="59"/>
      <c r="M145" s="63"/>
      <c r="N145" s="21"/>
    </row>
    <row r="146" spans="12:14" x14ac:dyDescent="0.25">
      <c r="L146" s="59"/>
      <c r="M146" s="63"/>
      <c r="N146" s="21"/>
    </row>
    <row r="147" spans="12:14" x14ac:dyDescent="0.25">
      <c r="L147" s="59"/>
      <c r="M147" s="63"/>
      <c r="N147" s="21"/>
    </row>
    <row r="148" spans="12:14" x14ac:dyDescent="0.25">
      <c r="L148" s="59"/>
      <c r="M148" s="63"/>
      <c r="N148" s="21"/>
    </row>
    <row r="149" spans="12:14" x14ac:dyDescent="0.25">
      <c r="L149" s="59"/>
      <c r="M149" s="63"/>
      <c r="N149" s="21"/>
    </row>
    <row r="150" spans="12:14" x14ac:dyDescent="0.25">
      <c r="L150" s="59"/>
      <c r="M150" s="63"/>
      <c r="N150" s="21"/>
    </row>
    <row r="151" spans="12:14" x14ac:dyDescent="0.25">
      <c r="L151" s="59"/>
      <c r="M151" s="63"/>
      <c r="N151" s="21"/>
    </row>
    <row r="152" spans="12:14" x14ac:dyDescent="0.25">
      <c r="L152" s="59"/>
      <c r="M152" s="63"/>
      <c r="N152" s="21"/>
    </row>
    <row r="153" spans="12:14" x14ac:dyDescent="0.25">
      <c r="L153" s="59"/>
      <c r="M153" s="63"/>
      <c r="N153" s="21"/>
    </row>
    <row r="154" spans="12:14" x14ac:dyDescent="0.25">
      <c r="L154" s="59"/>
      <c r="M154" s="63"/>
      <c r="N154" s="21"/>
    </row>
    <row r="155" spans="12:14" x14ac:dyDescent="0.25">
      <c r="L155" s="27"/>
    </row>
    <row r="156" spans="12:14" x14ac:dyDescent="0.25">
      <c r="L156" s="27"/>
    </row>
    <row r="157" spans="12:14" x14ac:dyDescent="0.25">
      <c r="L157" s="27"/>
    </row>
    <row r="158" spans="12:14" x14ac:dyDescent="0.25">
      <c r="L158" s="27"/>
    </row>
    <row r="159" spans="12:14" x14ac:dyDescent="0.25">
      <c r="L159" s="27"/>
    </row>
    <row r="160" spans="12:14" x14ac:dyDescent="0.25">
      <c r="L160" s="27"/>
    </row>
    <row r="161" spans="12:12" x14ac:dyDescent="0.25">
      <c r="L161" s="27"/>
    </row>
    <row r="162" spans="12:12" x14ac:dyDescent="0.25">
      <c r="L162" s="27"/>
    </row>
    <row r="163" spans="12:12" x14ac:dyDescent="0.25">
      <c r="L163" s="27"/>
    </row>
    <row r="164" spans="12:12" x14ac:dyDescent="0.25">
      <c r="L164" s="27"/>
    </row>
    <row r="165" spans="12:12" x14ac:dyDescent="0.25">
      <c r="L165" s="27"/>
    </row>
    <row r="166" spans="12:12" x14ac:dyDescent="0.25">
      <c r="L166" s="27"/>
    </row>
  </sheetData>
  <mergeCells count="25">
    <mergeCell ref="L20:M20"/>
    <mergeCell ref="L11:M11"/>
    <mergeCell ref="B35:C35"/>
    <mergeCell ref="D35:E35"/>
    <mergeCell ref="B41:C41"/>
    <mergeCell ref="D41:E41"/>
    <mergeCell ref="B29:C29"/>
    <mergeCell ref="A1:J2"/>
    <mergeCell ref="C23:D23"/>
    <mergeCell ref="C24:D24"/>
    <mergeCell ref="C25:D25"/>
    <mergeCell ref="F23:G23"/>
    <mergeCell ref="F24:G24"/>
    <mergeCell ref="F25:G25"/>
    <mergeCell ref="E22:G22"/>
    <mergeCell ref="B22:D22"/>
    <mergeCell ref="B11:C11"/>
    <mergeCell ref="D11:E11"/>
    <mergeCell ref="A3:J3"/>
    <mergeCell ref="B74:C74"/>
    <mergeCell ref="D74:E74"/>
    <mergeCell ref="D60:E60"/>
    <mergeCell ref="B60:C60"/>
    <mergeCell ref="D52:E52"/>
    <mergeCell ref="B58:C58"/>
  </mergeCells>
  <dataValidations count="6">
    <dataValidation type="list" allowBlank="1" showInputMessage="1" showErrorMessage="1" sqref="B58:C58">
      <formula1>$J$58:$J$59</formula1>
    </dataValidation>
    <dataValidation type="list" allowBlank="1" showInputMessage="1" showErrorMessage="1" sqref="E42:E44 C42:C44">
      <formula1>$J$45:$J$47</formula1>
    </dataValidation>
    <dataValidation type="list" allowBlank="1" showInputMessage="1" showErrorMessage="1" sqref="B29:C29">
      <formula1>$J$33:$J$34</formula1>
    </dataValidation>
    <dataValidation type="list" allowBlank="1" showInputMessage="1" showErrorMessage="1" sqref="F23:G23 C23:D23">
      <formula1>$J$23:$J$24</formula1>
    </dataValidation>
    <dataValidation type="list" allowBlank="1" showInputMessage="1" showErrorMessage="1" sqref="E12 C12">
      <formula1>kg_h</formula1>
    </dataValidation>
    <dataValidation type="list" allowBlank="1" showInputMessage="1" showErrorMessage="1" sqref="E13 C13">
      <formula1>$K$12:$K$16</formula1>
    </dataValidation>
  </dataValidation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"/>
  <sheetViews>
    <sheetView topLeftCell="A19" workbookViewId="0">
      <selection activeCell="M20" sqref="M20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26"/>
  <sheetViews>
    <sheetView topLeftCell="A13" workbookViewId="0">
      <selection activeCell="K19" sqref="K19"/>
    </sheetView>
  </sheetViews>
  <sheetFormatPr baseColWidth="10" defaultRowHeight="15" x14ac:dyDescent="0.25"/>
  <cols>
    <col min="2" max="2" width="5.85546875" customWidth="1"/>
    <col min="3" max="3" width="7.42578125" customWidth="1"/>
    <col min="4" max="4" width="8.7109375" customWidth="1"/>
    <col min="5" max="5" width="9.42578125" customWidth="1"/>
    <col min="6" max="6" width="8.5703125" customWidth="1"/>
    <col min="7" max="7" width="7.28515625" customWidth="1"/>
  </cols>
  <sheetData>
    <row r="1" spans="1:7" x14ac:dyDescent="0.25">
      <c r="A1" t="s">
        <v>92</v>
      </c>
    </row>
    <row r="3" spans="1:7" x14ac:dyDescent="0.25">
      <c r="B3" t="s">
        <v>83</v>
      </c>
      <c r="C3" s="56" t="s">
        <v>84</v>
      </c>
      <c r="D3" s="56" t="s">
        <v>85</v>
      </c>
      <c r="E3" s="56" t="s">
        <v>86</v>
      </c>
      <c r="F3" s="56" t="s">
        <v>87</v>
      </c>
      <c r="G3" s="56" t="s">
        <v>88</v>
      </c>
    </row>
    <row r="4" spans="1:7" ht="17.25" x14ac:dyDescent="0.25">
      <c r="B4" t="s">
        <v>8</v>
      </c>
      <c r="C4" t="s">
        <v>89</v>
      </c>
      <c r="D4" t="s">
        <v>90</v>
      </c>
      <c r="E4" t="s">
        <v>91</v>
      </c>
      <c r="F4" t="s">
        <v>7</v>
      </c>
      <c r="G4" t="s">
        <v>16</v>
      </c>
    </row>
    <row r="5" spans="1:7" x14ac:dyDescent="0.25">
      <c r="B5">
        <v>0</v>
      </c>
      <c r="C5">
        <v>1002</v>
      </c>
      <c r="D5" s="57">
        <v>1.7799999999999999E-3</v>
      </c>
      <c r="E5" s="57">
        <f>D5/C5</f>
        <v>1.7764471057884231E-6</v>
      </c>
      <c r="F5">
        <v>4218</v>
      </c>
      <c r="G5">
        <v>0.55200000000000005</v>
      </c>
    </row>
    <row r="6" spans="1:7" x14ac:dyDescent="0.25">
      <c r="B6">
        <f>B5+10</f>
        <v>10</v>
      </c>
      <c r="C6">
        <v>1001</v>
      </c>
      <c r="D6" s="57">
        <v>1.2999999999999999E-3</v>
      </c>
      <c r="E6" s="57">
        <f t="shared" ref="E6:E26" si="0">D6/C6</f>
        <v>1.2987012987012986E-6</v>
      </c>
      <c r="F6">
        <v>4192</v>
      </c>
      <c r="G6">
        <v>0.58599999999999997</v>
      </c>
    </row>
    <row r="7" spans="1:7" x14ac:dyDescent="0.25">
      <c r="B7">
        <f t="shared" ref="B7" si="1">B6+10</f>
        <v>20</v>
      </c>
      <c r="C7">
        <v>1001</v>
      </c>
      <c r="D7" s="57">
        <v>1E-3</v>
      </c>
      <c r="E7" s="57">
        <f t="shared" si="0"/>
        <v>9.9900099900099908E-7</v>
      </c>
      <c r="F7">
        <v>4182</v>
      </c>
      <c r="G7">
        <v>0.59699999999999998</v>
      </c>
    </row>
    <row r="8" spans="1:7" x14ac:dyDescent="0.25">
      <c r="B8">
        <f>B7+20</f>
        <v>40</v>
      </c>
      <c r="C8">
        <v>994.6</v>
      </c>
      <c r="D8" s="57">
        <v>6.5099999999999999E-4</v>
      </c>
      <c r="E8" s="57">
        <f t="shared" si="0"/>
        <v>6.5453448622561834E-7</v>
      </c>
      <c r="F8">
        <v>4178</v>
      </c>
      <c r="G8">
        <v>0.628</v>
      </c>
    </row>
    <row r="9" spans="1:7" x14ac:dyDescent="0.25">
      <c r="B9">
        <f t="shared" ref="B9:B21" si="2">B8+20</f>
        <v>60</v>
      </c>
      <c r="C9">
        <v>985.4</v>
      </c>
      <c r="D9" s="57">
        <v>4.6900000000000002E-4</v>
      </c>
      <c r="E9" s="57">
        <f t="shared" si="0"/>
        <v>4.7594885325756042E-7</v>
      </c>
      <c r="F9">
        <v>4184</v>
      </c>
      <c r="G9">
        <v>0.65100000000000002</v>
      </c>
    </row>
    <row r="10" spans="1:7" x14ac:dyDescent="0.25">
      <c r="B10">
        <f t="shared" si="2"/>
        <v>80</v>
      </c>
      <c r="C10">
        <v>974.1</v>
      </c>
      <c r="D10" s="57">
        <v>3.5399999999999999E-4</v>
      </c>
      <c r="E10" s="57">
        <f t="shared" si="0"/>
        <v>3.6341238065906988E-7</v>
      </c>
      <c r="F10">
        <v>4196</v>
      </c>
      <c r="G10">
        <v>0.66800000000000004</v>
      </c>
    </row>
    <row r="11" spans="1:7" x14ac:dyDescent="0.25">
      <c r="B11">
        <f t="shared" si="2"/>
        <v>100</v>
      </c>
      <c r="C11">
        <v>960.6</v>
      </c>
      <c r="D11" s="57">
        <v>2.81E-4</v>
      </c>
      <c r="E11" s="57">
        <f t="shared" si="0"/>
        <v>2.9252550489277536E-7</v>
      </c>
      <c r="F11">
        <v>4216</v>
      </c>
      <c r="G11">
        <v>0.68</v>
      </c>
    </row>
    <row r="12" spans="1:7" x14ac:dyDescent="0.25">
      <c r="B12">
        <f t="shared" si="2"/>
        <v>120</v>
      </c>
      <c r="C12">
        <v>945.3</v>
      </c>
      <c r="D12" s="57">
        <v>2.34E-4</v>
      </c>
      <c r="E12" s="57">
        <f t="shared" si="0"/>
        <v>2.4754046334496988E-7</v>
      </c>
      <c r="F12">
        <v>4259</v>
      </c>
      <c r="G12">
        <v>0.68500000000000005</v>
      </c>
    </row>
    <row r="13" spans="1:7" x14ac:dyDescent="0.25">
      <c r="B13">
        <f t="shared" si="2"/>
        <v>140</v>
      </c>
      <c r="C13">
        <v>928.3</v>
      </c>
      <c r="D13" s="57">
        <v>1.9799999999999999E-4</v>
      </c>
      <c r="E13" s="57">
        <f t="shared" si="0"/>
        <v>2.1329311644942366E-7</v>
      </c>
      <c r="F13">
        <v>4283</v>
      </c>
      <c r="G13">
        <v>0.68400000000000005</v>
      </c>
    </row>
    <row r="14" spans="1:7" x14ac:dyDescent="0.25">
      <c r="B14">
        <f t="shared" si="2"/>
        <v>160</v>
      </c>
      <c r="C14">
        <v>909.7</v>
      </c>
      <c r="D14" s="57">
        <v>1.7200000000000001E-4</v>
      </c>
      <c r="E14" s="57">
        <f t="shared" si="0"/>
        <v>1.8907332087501374E-7</v>
      </c>
      <c r="F14">
        <v>4342</v>
      </c>
      <c r="G14">
        <v>0.68</v>
      </c>
    </row>
    <row r="15" spans="1:7" x14ac:dyDescent="0.25">
      <c r="B15">
        <f t="shared" si="2"/>
        <v>180</v>
      </c>
      <c r="C15">
        <v>889</v>
      </c>
      <c r="D15" s="57">
        <v>1.54E-4</v>
      </c>
      <c r="E15" s="57">
        <f t="shared" si="0"/>
        <v>1.7322834645669291E-7</v>
      </c>
      <c r="F15">
        <v>4417</v>
      </c>
      <c r="G15">
        <v>0.67500000000000004</v>
      </c>
    </row>
    <row r="16" spans="1:7" x14ac:dyDescent="0.25">
      <c r="B16">
        <f t="shared" si="2"/>
        <v>200</v>
      </c>
      <c r="C16">
        <v>866.7</v>
      </c>
      <c r="D16" s="57">
        <v>1.3799999999999999E-4</v>
      </c>
      <c r="E16" s="57">
        <f t="shared" si="0"/>
        <v>1.5922464520595361E-7</v>
      </c>
      <c r="F16">
        <v>4505</v>
      </c>
      <c r="G16">
        <v>0.66500000000000004</v>
      </c>
    </row>
    <row r="17" spans="2:7" x14ac:dyDescent="0.25">
      <c r="B17">
        <f t="shared" si="2"/>
        <v>220</v>
      </c>
      <c r="C17">
        <v>842.4</v>
      </c>
      <c r="D17" s="57">
        <v>1.25E-4</v>
      </c>
      <c r="E17" s="57">
        <f t="shared" si="0"/>
        <v>1.4838556505223173E-7</v>
      </c>
      <c r="F17">
        <v>4610</v>
      </c>
      <c r="G17">
        <v>0.65300000000000002</v>
      </c>
    </row>
    <row r="18" spans="2:7" x14ac:dyDescent="0.25">
      <c r="B18">
        <f t="shared" si="2"/>
        <v>240</v>
      </c>
      <c r="C18">
        <v>815.7</v>
      </c>
      <c r="D18" s="57">
        <v>1.17E-4</v>
      </c>
      <c r="E18" s="57">
        <f t="shared" si="0"/>
        <v>1.4343508642883413E-7</v>
      </c>
      <c r="F18">
        <v>4756</v>
      </c>
      <c r="G18">
        <v>0.63500000000000001</v>
      </c>
    </row>
    <row r="19" spans="2:7" x14ac:dyDescent="0.25">
      <c r="B19">
        <f t="shared" si="2"/>
        <v>260</v>
      </c>
      <c r="C19">
        <v>785.9</v>
      </c>
      <c r="D19" s="57">
        <v>1.08E-4</v>
      </c>
      <c r="E19" s="57">
        <f t="shared" si="0"/>
        <v>1.3742206387581117E-7</v>
      </c>
      <c r="F19">
        <v>4949</v>
      </c>
      <c r="G19">
        <v>0.61099999999999999</v>
      </c>
    </row>
    <row r="20" spans="2:7" x14ac:dyDescent="0.25">
      <c r="B20">
        <f t="shared" si="2"/>
        <v>280</v>
      </c>
      <c r="C20">
        <v>752.5</v>
      </c>
      <c r="D20" s="57">
        <v>1.02E-4</v>
      </c>
      <c r="E20" s="57">
        <f t="shared" si="0"/>
        <v>1.3554817275747507E-7</v>
      </c>
      <c r="F20">
        <v>5208</v>
      </c>
      <c r="G20">
        <v>0.57999999999999996</v>
      </c>
    </row>
    <row r="21" spans="2:7" x14ac:dyDescent="0.25">
      <c r="B21">
        <f t="shared" si="2"/>
        <v>300</v>
      </c>
      <c r="C21">
        <v>714.3</v>
      </c>
      <c r="D21" s="57">
        <v>9.6000000000000002E-5</v>
      </c>
      <c r="E21" s="57">
        <f t="shared" si="0"/>
        <v>1.3439731205375893E-7</v>
      </c>
      <c r="F21">
        <v>5728</v>
      </c>
      <c r="G21">
        <v>0.54</v>
      </c>
    </row>
    <row r="22" spans="2:7" x14ac:dyDescent="0.25">
      <c r="B22" t="s">
        <v>93</v>
      </c>
      <c r="E22" s="57"/>
    </row>
    <row r="23" spans="2:7" x14ac:dyDescent="0.25">
      <c r="B23">
        <v>20</v>
      </c>
      <c r="C23">
        <v>888</v>
      </c>
      <c r="D23" s="57">
        <v>0.8</v>
      </c>
      <c r="E23" s="57">
        <f t="shared" si="0"/>
        <v>9.0090090090090091E-4</v>
      </c>
      <c r="F23">
        <v>1880</v>
      </c>
      <c r="G23">
        <v>0.14499999999999999</v>
      </c>
    </row>
    <row r="24" spans="2:7" x14ac:dyDescent="0.25">
      <c r="B24">
        <v>40</v>
      </c>
      <c r="C24">
        <v>876</v>
      </c>
      <c r="D24" s="57">
        <v>0.21</v>
      </c>
      <c r="E24" s="57">
        <f t="shared" si="0"/>
        <v>2.3972602739726027E-4</v>
      </c>
      <c r="F24">
        <v>1964</v>
      </c>
      <c r="G24">
        <v>0.14399999999999999</v>
      </c>
    </row>
    <row r="25" spans="2:7" x14ac:dyDescent="0.25">
      <c r="B25">
        <v>60</v>
      </c>
      <c r="C25">
        <v>864</v>
      </c>
      <c r="D25" s="57">
        <v>7.1999999999999995E-2</v>
      </c>
      <c r="E25" s="57">
        <f t="shared" si="0"/>
        <v>8.3333333333333331E-5</v>
      </c>
      <c r="F25">
        <v>2047</v>
      </c>
      <c r="G25">
        <v>0.14000000000000001</v>
      </c>
    </row>
    <row r="26" spans="2:7" x14ac:dyDescent="0.25">
      <c r="B26">
        <v>80</v>
      </c>
      <c r="C26">
        <v>852</v>
      </c>
      <c r="D26" s="57">
        <v>3.2000000000000001E-2</v>
      </c>
      <c r="E26" s="57">
        <f t="shared" si="0"/>
        <v>3.7558685446009389E-5</v>
      </c>
      <c r="F26">
        <v>2131</v>
      </c>
      <c r="G26">
        <v>0.13800000000000001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Feuil1</vt:lpstr>
      <vt:lpstr>Feuil3</vt:lpstr>
      <vt:lpstr>Feuil2</vt:lpstr>
      <vt:lpstr>kg_h</vt:lpstr>
      <vt:lpstr>Q1_</vt:lpstr>
      <vt:lpstr>unité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ANGELI</dc:creator>
  <cp:lastModifiedBy>Claire INGREMEAU</cp:lastModifiedBy>
  <dcterms:created xsi:type="dcterms:W3CDTF">2012-06-21T07:33:35Z</dcterms:created>
  <dcterms:modified xsi:type="dcterms:W3CDTF">2013-02-18T09:23:36Z</dcterms:modified>
</cp:coreProperties>
</file>