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90" windowWidth="21135" windowHeight="9660"/>
  </bookViews>
  <sheets>
    <sheet name="Feuil1" sheetId="1" r:id="rId1"/>
    <sheet name="Feuil2" sheetId="2" r:id="rId2"/>
    <sheet name="Feuil3" sheetId="3" r:id="rId3"/>
  </sheets>
  <definedNames>
    <definedName name="Région">Feuil1!$C$5:$C$7</definedName>
    <definedName name="zone">Feuil1!$C$11</definedName>
  </definedNames>
  <calcPr calcId="124519"/>
</workbook>
</file>

<file path=xl/calcChain.xml><?xml version="1.0" encoding="utf-8"?>
<calcChain xmlns="http://schemas.openxmlformats.org/spreadsheetml/2006/main">
  <c r="C48" i="1"/>
  <c r="C47"/>
  <c r="G25"/>
  <c r="G26"/>
  <c r="G18"/>
  <c r="G17"/>
  <c r="C57"/>
  <c r="C45" l="1"/>
  <c r="C35"/>
  <c r="C36"/>
  <c r="C27"/>
  <c r="C28"/>
  <c r="C38" l="1"/>
  <c r="C51" s="1"/>
  <c r="C60" s="1"/>
  <c r="C37"/>
  <c r="C50" s="1"/>
  <c r="C59" s="1"/>
</calcChain>
</file>

<file path=xl/comments1.xml><?xml version="1.0" encoding="utf-8"?>
<comments xmlns="http://schemas.openxmlformats.org/spreadsheetml/2006/main">
  <authors>
    <author>Nicolas ANGELI</author>
  </authors>
  <commentList>
    <comment ref="G11" authorId="0">
      <text>
        <r>
          <rPr>
            <b/>
            <sz val="8"/>
            <color indexed="81"/>
            <rFont val="Tahoma"/>
            <charset val="1"/>
          </rPr>
          <t>Nicolas ANGELI:</t>
        </r>
        <r>
          <rPr>
            <sz val="8"/>
            <color indexed="81"/>
            <rFont val="Tahoma"/>
            <charset val="1"/>
          </rPr>
          <t xml:space="preserve">
Température extérieure de base ou Température de sortie échangeur de préchauffage / Hygiéniseur / Cuve de mélange</t>
        </r>
      </text>
    </comment>
    <comment ref="G12" authorId="0">
      <text>
        <r>
          <rPr>
            <b/>
            <sz val="8"/>
            <color indexed="81"/>
            <rFont val="Tahoma"/>
            <charset val="1"/>
          </rPr>
          <t>Nicolas ANGELI:</t>
        </r>
        <r>
          <rPr>
            <sz val="8"/>
            <color indexed="81"/>
            <rFont val="Tahoma"/>
            <charset val="1"/>
          </rPr>
          <t xml:space="preserve">
Température extérieure moyenne ou Température moyenne de sortie échangeur de préchauffage / Hygiéniseur / Cuve de mélange</t>
        </r>
      </text>
    </comment>
  </commentList>
</comments>
</file>

<file path=xl/sharedStrings.xml><?xml version="1.0" encoding="utf-8"?>
<sst xmlns="http://schemas.openxmlformats.org/spreadsheetml/2006/main" count="72" uniqueCount="45">
  <si>
    <t>Ouest</t>
  </si>
  <si>
    <t>Est</t>
  </si>
  <si>
    <t>Sud</t>
  </si>
  <si>
    <t>Température extérieure de base (°C)</t>
  </si>
  <si>
    <t>Température extérieure moyenne (°C)</t>
  </si>
  <si>
    <t>http://www.generation-o2.com/economies-energie_energies-renouvelables_chauffage-ecologique_lorraine-54-nancy.htm</t>
  </si>
  <si>
    <t>Température minimale d'entrée  des effluents (°C)</t>
  </si>
  <si>
    <t>Température moyenne des effluents (°C)</t>
  </si>
  <si>
    <t>Indiquer de l'intérieur à l'extérieur les matériaux constituant le digesteur (ex : bitume, béton, polystyrène extrudé)</t>
  </si>
  <si>
    <t>Epaisseur (cm)</t>
  </si>
  <si>
    <t>Perte maximale de chaleur (kWth)</t>
  </si>
  <si>
    <t>Sol</t>
  </si>
  <si>
    <t>Coefficient de convection externe</t>
  </si>
  <si>
    <t>Diamètre intérieur du digesteur (m)</t>
  </si>
  <si>
    <t>Hauteur du digesteur (m)</t>
  </si>
  <si>
    <t>Conductibilité thermique (W/m/K)</t>
  </si>
  <si>
    <t>Perte annuelle de chaleur (MWhth)</t>
  </si>
  <si>
    <t>Paroi supérieure</t>
  </si>
  <si>
    <t>Coefficient de conduction avec le sol</t>
  </si>
  <si>
    <t>Coefficient de convection interne</t>
  </si>
  <si>
    <t>Perte maximale totale de chaleur (kWth)</t>
  </si>
  <si>
    <t>Capacité thermique des effluents (J/kg/K)</t>
  </si>
  <si>
    <t>Débit d'effluents (kg/h)</t>
  </si>
  <si>
    <t xml:space="preserve">Température de digestion (°C) </t>
  </si>
  <si>
    <t xml:space="preserve">Calculs valables pour un digesteur cylindrique </t>
  </si>
  <si>
    <t>Parois latérales</t>
  </si>
  <si>
    <t>Indiquer ici le type de matériau</t>
  </si>
  <si>
    <t xml:space="preserve">Source : Génération O2 </t>
  </si>
  <si>
    <t>Carte des températures extérieures de base</t>
  </si>
  <si>
    <t>Le rayonnement solaire diminue la valeur des pertes thermiques</t>
  </si>
  <si>
    <t>Les ponts thermiques peuvent générer des pertes de chaleur considérables</t>
  </si>
  <si>
    <t>Efficacité de l'échangeur</t>
  </si>
  <si>
    <t>Energie nécessaire à la montée en température des effluents</t>
  </si>
  <si>
    <t>Puissance thermique maximale (kW)</t>
  </si>
  <si>
    <t>Energie thermique annuelle (MWh)</t>
  </si>
  <si>
    <t xml:space="preserve">Consommation thermique </t>
  </si>
  <si>
    <t>Echangeur effluents intrants/digestat</t>
  </si>
  <si>
    <t>Energie récupérable sur le digestat par échangeur</t>
  </si>
  <si>
    <t>% de masse éliminée lors de la digestion</t>
  </si>
  <si>
    <t>Echangeur effluents intrants / digestat ?</t>
  </si>
  <si>
    <t xml:space="preserve">Pertes thermiques </t>
  </si>
  <si>
    <t>Montée en température des effluents</t>
  </si>
  <si>
    <t xml:space="preserve">                CALCULATEUR DE CONSOMMATION THERMIQUE DU DIGESTEUR</t>
  </si>
  <si>
    <t>La température du ciel gazeux doit être calculée pour évaluer la perte thermique au niveau de la paroi supérieure. Elle est fonction des caractéristiques thermiques du gazomètre</t>
  </si>
  <si>
    <t>Température du sol (°C)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</si>
</sst>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24487E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8.25"/>
      <color theme="10"/>
      <name val="Calibri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sz val="11"/>
      <color rgb="FF008000"/>
      <name val="Calibri"/>
      <family val="2"/>
      <scheme val="minor"/>
    </font>
    <font>
      <i/>
      <sz val="11"/>
      <color rgb="FF3F3F3F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2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0" borderId="0" xfId="0" applyFont="1"/>
    <xf numFmtId="44" fontId="0" fillId="0" borderId="0" xfId="2" applyFont="1"/>
    <xf numFmtId="44" fontId="2" fillId="0" borderId="0" xfId="2" applyFont="1"/>
    <xf numFmtId="0" fontId="6" fillId="3" borderId="2" xfId="0" applyNumberFormat="1" applyFont="1" applyFill="1" applyBorder="1" applyProtection="1">
      <protection locked="0"/>
    </xf>
    <xf numFmtId="0" fontId="6" fillId="3" borderId="2" xfId="1" applyNumberFormat="1" applyFont="1" applyFill="1" applyBorder="1" applyProtection="1">
      <protection locked="0"/>
    </xf>
    <xf numFmtId="0" fontId="3" fillId="2" borderId="1" xfId="3" applyProtection="1"/>
    <xf numFmtId="0" fontId="7" fillId="0" borderId="0" xfId="0" applyFont="1"/>
    <xf numFmtId="0" fontId="8" fillId="0" borderId="0" xfId="4" applyAlignment="1" applyProtection="1"/>
    <xf numFmtId="0" fontId="6" fillId="3" borderId="2" xfId="2" applyNumberFormat="1" applyFont="1" applyFill="1" applyBorder="1" applyProtection="1">
      <protection locked="0"/>
    </xf>
    <xf numFmtId="9" fontId="0" fillId="0" borderId="0" xfId="1" applyFont="1"/>
    <xf numFmtId="0" fontId="0" fillId="0" borderId="0" xfId="0" applyFont="1"/>
    <xf numFmtId="0" fontId="3" fillId="2" borderId="1" xfId="3" applyFont="1" applyProtection="1"/>
    <xf numFmtId="164" fontId="0" fillId="0" borderId="0" xfId="0" applyNumberFormat="1" applyFont="1"/>
    <xf numFmtId="0" fontId="12" fillId="0" borderId="0" xfId="0" applyFont="1"/>
    <xf numFmtId="0" fontId="13" fillId="2" borderId="1" xfId="3" applyFont="1" applyAlignment="1" applyProtection="1">
      <alignment horizontal="center"/>
    </xf>
    <xf numFmtId="2" fontId="14" fillId="4" borderId="2" xfId="1" applyNumberFormat="1" applyFont="1" applyFill="1" applyBorder="1" applyProtection="1"/>
    <xf numFmtId="0" fontId="15" fillId="2" borderId="1" xfId="3" applyFont="1" applyProtection="1"/>
    <xf numFmtId="2" fontId="11" fillId="4" borderId="2" xfId="1" applyNumberFormat="1" applyFont="1" applyFill="1" applyBorder="1" applyProtection="1"/>
    <xf numFmtId="2" fontId="11" fillId="4" borderId="2" xfId="2" applyNumberFormat="1" applyFont="1" applyFill="1" applyBorder="1" applyProtection="1"/>
    <xf numFmtId="9" fontId="6" fillId="3" borderId="2" xfId="1" applyFont="1" applyFill="1" applyBorder="1" applyProtection="1">
      <protection locked="0"/>
    </xf>
    <xf numFmtId="0" fontId="6" fillId="3" borderId="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</xf>
    <xf numFmtId="0" fontId="16" fillId="0" borderId="5" xfId="0" applyFont="1" applyBorder="1"/>
    <xf numFmtId="0" fontId="17" fillId="0" borderId="5" xfId="0" applyFont="1" applyBorder="1"/>
    <xf numFmtId="0" fontId="3" fillId="2" borderId="3" xfId="3" applyFont="1" applyBorder="1" applyAlignment="1" applyProtection="1">
      <alignment horizontal="center"/>
    </xf>
    <xf numFmtId="0" fontId="3" fillId="2" borderId="4" xfId="3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1" fontId="6" fillId="3" borderId="2" xfId="2" applyNumberFormat="1" applyFont="1" applyFill="1" applyBorder="1" applyAlignment="1" applyProtection="1">
      <alignment horizontal="right"/>
      <protection locked="0"/>
    </xf>
    <xf numFmtId="2" fontId="14" fillId="4" borderId="2" xfId="1" applyNumberFormat="1" applyFont="1" applyFill="1" applyBorder="1" applyAlignment="1" applyProtection="1">
      <alignment horizontal="center"/>
    </xf>
    <xf numFmtId="11" fontId="6" fillId="3" borderId="2" xfId="2" applyNumberFormat="1" applyFont="1" applyFill="1" applyBorder="1" applyAlignment="1" applyProtection="1">
      <protection locked="0"/>
    </xf>
    <xf numFmtId="0" fontId="4" fillId="0" borderId="0" xfId="0" applyFont="1" applyAlignment="1" applyProtection="1">
      <alignment horizontal="center" vertical="center"/>
    </xf>
  </cellXfs>
  <cellStyles count="5">
    <cellStyle name="Lien hypertexte" xfId="4" builtinId="8"/>
    <cellStyle name="Monétaire" xfId="2" builtinId="4"/>
    <cellStyle name="Normal" xfId="0" builtinId="0"/>
    <cellStyle name="Pourcentage" xfId="1" builtinId="5"/>
    <cellStyle name="Sortie" xfId="3" builtinId="21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25400</xdr:rowOff>
    </xdr:from>
    <xdr:to>
      <xdr:col>1</xdr:col>
      <xdr:colOff>3632200</xdr:colOff>
      <xdr:row>5</xdr:row>
      <xdr:rowOff>127000</xdr:rowOff>
    </xdr:to>
    <xdr:pic>
      <xdr:nvPicPr>
        <xdr:cNvPr id="2" name="Image 1" descr="Club Biogaz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9400" y="25400"/>
          <a:ext cx="3556000" cy="1079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104775</xdr:rowOff>
    </xdr:from>
    <xdr:to>
      <xdr:col>7</xdr:col>
      <xdr:colOff>590550</xdr:colOff>
      <xdr:row>14</xdr:row>
      <xdr:rowOff>47625</xdr:rowOff>
    </xdr:to>
    <xdr:pic>
      <xdr:nvPicPr>
        <xdr:cNvPr id="3" name="Image 2" descr="generation-O2_pac-air-air_carte-temperature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295275"/>
          <a:ext cx="5715000" cy="2419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generation-o2.com/economies-energie_energies-renouvelables_chauffage-ecologique_lorraine-54-nancy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B1:L60"/>
  <sheetViews>
    <sheetView showZeros="0" tabSelected="1" topLeftCell="A19" zoomScale="75" zoomScaleNormal="75" workbookViewId="0">
      <selection activeCell="F55" sqref="D53:F55"/>
    </sheetView>
  </sheetViews>
  <sheetFormatPr baseColWidth="10" defaultRowHeight="15"/>
  <cols>
    <col min="1" max="1" width="3" style="11" customWidth="1"/>
    <col min="2" max="2" width="61.85546875" style="11" customWidth="1"/>
    <col min="3" max="3" width="18.42578125" style="11" customWidth="1"/>
    <col min="4" max="4" width="32.85546875" style="11" customWidth="1"/>
    <col min="5" max="5" width="16.28515625" style="11" customWidth="1"/>
    <col min="6" max="6" width="47.85546875" style="11" customWidth="1"/>
    <col min="7" max="7" width="14" style="11" bestFit="1" customWidth="1"/>
    <col min="8" max="8" width="54" style="11" customWidth="1"/>
    <col min="9" max="10" width="14" style="11" bestFit="1" customWidth="1"/>
    <col min="11" max="11" width="34.140625" style="11" customWidth="1"/>
    <col min="12" max="12" width="14" style="11" bestFit="1" customWidth="1"/>
    <col min="13" max="16384" width="11.42578125" style="11"/>
  </cols>
  <sheetData>
    <row r="1" spans="2:12" ht="15" customHeight="1">
      <c r="B1" s="31" t="s">
        <v>42</v>
      </c>
      <c r="C1" s="31"/>
      <c r="D1" s="31"/>
      <c r="E1" s="31"/>
      <c r="F1" s="31"/>
      <c r="G1" s="31"/>
      <c r="H1" s="22"/>
      <c r="I1" s="22"/>
      <c r="J1" s="22"/>
      <c r="K1" s="22"/>
      <c r="L1" s="22"/>
    </row>
    <row r="2" spans="2:12" ht="15" customHeight="1">
      <c r="B2" s="31"/>
      <c r="C2" s="31"/>
      <c r="D2" s="31"/>
      <c r="E2" s="31"/>
      <c r="F2" s="31"/>
      <c r="G2" s="31"/>
      <c r="H2" s="22"/>
      <c r="I2" s="22"/>
      <c r="J2" s="22"/>
      <c r="K2" s="22"/>
      <c r="L2" s="22"/>
    </row>
    <row r="3" spans="2:12" ht="15.7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5" spans="2:12" ht="15.75">
      <c r="C5" s="7" t="s">
        <v>0</v>
      </c>
    </row>
    <row r="6" spans="2:12" ht="15.75">
      <c r="C6" s="7" t="s">
        <v>1</v>
      </c>
      <c r="G6" s="3"/>
      <c r="J6" s="1" t="b">
        <v>0</v>
      </c>
      <c r="K6" s="1" t="b">
        <v>1</v>
      </c>
      <c r="L6" s="1" t="b">
        <v>0</v>
      </c>
    </row>
    <row r="7" spans="2:12" ht="15.75">
      <c r="C7" s="7" t="s">
        <v>2</v>
      </c>
      <c r="G7" s="3"/>
      <c r="H7" s="1"/>
      <c r="I7" s="1"/>
      <c r="J7" s="1"/>
      <c r="K7" s="1"/>
      <c r="L7" s="1"/>
    </row>
    <row r="8" spans="2:12" ht="15.75">
      <c r="B8" s="24" t="s">
        <v>40</v>
      </c>
      <c r="C8" s="23"/>
      <c r="D8" s="23"/>
      <c r="F8" s="24" t="s">
        <v>41</v>
      </c>
      <c r="G8" s="23"/>
      <c r="I8" s="1"/>
      <c r="J8" s="1"/>
      <c r="K8" s="1"/>
      <c r="L8" s="1"/>
    </row>
    <row r="9" spans="2:12">
      <c r="K9" s="1"/>
      <c r="L9" s="1"/>
    </row>
    <row r="10" spans="2:12">
      <c r="B10" s="14" t="s">
        <v>24</v>
      </c>
      <c r="F10" s="12" t="s">
        <v>23</v>
      </c>
      <c r="G10" s="5">
        <v>38</v>
      </c>
      <c r="I10" s="1"/>
      <c r="J10" s="1"/>
    </row>
    <row r="11" spans="2:12" ht="15" customHeight="1">
      <c r="B11" s="12" t="s">
        <v>14</v>
      </c>
      <c r="C11" s="4">
        <v>5</v>
      </c>
      <c r="F11" s="12" t="s">
        <v>6</v>
      </c>
      <c r="G11" s="9">
        <v>-5</v>
      </c>
      <c r="J11" s="1"/>
    </row>
    <row r="12" spans="2:12">
      <c r="B12" s="12" t="s">
        <v>13</v>
      </c>
      <c r="C12" s="4">
        <v>10</v>
      </c>
      <c r="D12" s="2"/>
      <c r="F12" s="12" t="s">
        <v>7</v>
      </c>
      <c r="G12" s="9">
        <v>12</v>
      </c>
    </row>
    <row r="13" spans="2:12">
      <c r="F13" s="12" t="s">
        <v>22</v>
      </c>
      <c r="G13" s="5">
        <v>3000</v>
      </c>
    </row>
    <row r="14" spans="2:12">
      <c r="B14" s="12" t="s">
        <v>3</v>
      </c>
      <c r="C14" s="9">
        <v>-5</v>
      </c>
      <c r="D14" s="8" t="s">
        <v>28</v>
      </c>
      <c r="F14" s="12" t="s">
        <v>21</v>
      </c>
      <c r="G14" s="5">
        <v>4180</v>
      </c>
    </row>
    <row r="15" spans="2:12">
      <c r="B15" s="12" t="s">
        <v>4</v>
      </c>
      <c r="C15" s="9">
        <v>12</v>
      </c>
      <c r="D15" s="2"/>
    </row>
    <row r="16" spans="2:12">
      <c r="B16" s="12" t="s">
        <v>44</v>
      </c>
      <c r="C16" s="9">
        <v>12</v>
      </c>
      <c r="F16" s="25" t="s">
        <v>32</v>
      </c>
      <c r="G16" s="26"/>
    </row>
    <row r="17" spans="2:12">
      <c r="F17" s="6" t="s">
        <v>33</v>
      </c>
      <c r="G17" s="16">
        <f>G13*G14*(G10-G11)/3600/1000</f>
        <v>149.78333333333333</v>
      </c>
    </row>
    <row r="18" spans="2:12">
      <c r="B18" s="14" t="s">
        <v>8</v>
      </c>
      <c r="C18" s="14"/>
      <c r="D18" s="14"/>
      <c r="F18" s="6" t="s">
        <v>34</v>
      </c>
      <c r="G18" s="16">
        <f>G13*G14*(G10-G12)/3600/1000*8.76</f>
        <v>793.36400000000003</v>
      </c>
    </row>
    <row r="20" spans="2:12" ht="15.75">
      <c r="B20" s="15" t="s">
        <v>25</v>
      </c>
      <c r="C20" s="12" t="s">
        <v>9</v>
      </c>
      <c r="D20" s="12" t="s">
        <v>15</v>
      </c>
      <c r="F20" s="25" t="s">
        <v>36</v>
      </c>
      <c r="G20" s="26"/>
    </row>
    <row r="21" spans="2:12">
      <c r="B21" s="17" t="s">
        <v>26</v>
      </c>
      <c r="C21" s="4">
        <v>20</v>
      </c>
      <c r="D21" s="4">
        <v>2</v>
      </c>
      <c r="F21" s="6" t="s">
        <v>31</v>
      </c>
      <c r="G21" s="20">
        <v>0.9</v>
      </c>
    </row>
    <row r="22" spans="2:12">
      <c r="B22" s="17" t="s">
        <v>26</v>
      </c>
      <c r="C22" s="9"/>
      <c r="D22" s="4"/>
      <c r="F22" s="6" t="s">
        <v>38</v>
      </c>
      <c r="G22" s="20">
        <v>0.4</v>
      </c>
    </row>
    <row r="23" spans="2:12">
      <c r="B23" s="17" t="s">
        <v>26</v>
      </c>
      <c r="C23" s="9"/>
      <c r="D23" s="4">
        <v>0</v>
      </c>
      <c r="I23" s="10"/>
      <c r="L23" s="10"/>
    </row>
    <row r="24" spans="2:12">
      <c r="B24" s="17" t="s">
        <v>26</v>
      </c>
      <c r="C24" s="9"/>
      <c r="D24" s="4"/>
      <c r="F24" s="25" t="s">
        <v>37</v>
      </c>
      <c r="G24" s="26"/>
      <c r="I24" s="10"/>
      <c r="L24" s="10"/>
    </row>
    <row r="25" spans="2:12">
      <c r="B25" s="12" t="s">
        <v>19</v>
      </c>
      <c r="C25" s="28">
        <v>99999999</v>
      </c>
      <c r="D25" s="28"/>
      <c r="F25" s="6" t="s">
        <v>33</v>
      </c>
      <c r="G25" s="16">
        <f>G13*G14*G22*G21*(G10-G11)/1000/3600</f>
        <v>53.922000000000004</v>
      </c>
      <c r="I25" s="13"/>
      <c r="L25" s="13"/>
    </row>
    <row r="26" spans="2:12">
      <c r="B26" s="12" t="s">
        <v>12</v>
      </c>
      <c r="C26" s="28">
        <v>999999999999</v>
      </c>
      <c r="D26" s="28"/>
      <c r="F26" s="6" t="s">
        <v>34</v>
      </c>
      <c r="G26" s="16">
        <f>G13*G14*G22*G21*(G10-G12)/1000/3600*8.76</f>
        <v>285.61104</v>
      </c>
      <c r="I26" s="13"/>
      <c r="L26" s="13"/>
    </row>
    <row r="27" spans="2:12">
      <c r="B27" s="12" t="s">
        <v>10</v>
      </c>
      <c r="C27" s="29">
        <f>(G10-C14)/(1/(C25*PI()*C12*zone)+LN((C12/2+C21/100)/C12*2)/(2*PI()*D21*zone)+IF(D22=0,0,(LN((C12/2+C21/100+C22/100)/(C12/2+C21/100))/(2*PI()*D22*zone)))+IF(D23=0,0,(LN((C12/2+C21/100+C22/100+C23/100)/(C12/2+C21/100+C22/100))/(2*PI()*D23*zone)))+IF(D24=0,0,(LN((C12/2+C21/100+C22/100+C23/100+C24/100)/(C12/2+C21/100+C22/100+C23/100))/(2*PI()*D24*zone)))+1/(C26*2*PI()*(C12/2+SUM(C21:C24)/100)))/1000</f>
        <v>68.886289646254127</v>
      </c>
      <c r="D27" s="29"/>
    </row>
    <row r="28" spans="2:12">
      <c r="B28" s="12" t="s">
        <v>16</v>
      </c>
      <c r="C28" s="29">
        <f>(G10-C15)/(1/(C25*PI()*C12*zone)+LN((C12/2+C21/100)/C12*2)/(2*PI()*D21*zone)+IF(D22=0,0,(LN((C12/2+C21/100+C22/100)/(C12/2+C21/100))/(2*PI()*D22*zone)))+IF(D23=0,0,(LN((C12/2+C21/100+C22/100+C23/100)/(C12/2+C21/100+C22/100))/(2*PI()*D23*zone)))+IF(D24=0,0,(LN((C12/2+C21/100+C22/100+C23/100+C24/100)/(C12/2+C21/100+C22/100+C23/100))/(2*PI()*D24*zone)))+1/(C26*2*PI()*(C12/2+SUM(C21:C24)/100)))*8.76/1000</f>
        <v>364.87305418211258</v>
      </c>
      <c r="D28" s="29"/>
      <c r="H28" s="1"/>
    </row>
    <row r="30" spans="2:12" ht="15.75">
      <c r="B30" s="15" t="s">
        <v>17</v>
      </c>
      <c r="C30" s="12" t="s">
        <v>9</v>
      </c>
      <c r="D30" s="12" t="s">
        <v>15</v>
      </c>
    </row>
    <row r="31" spans="2:12">
      <c r="B31" s="17" t="s">
        <v>26</v>
      </c>
      <c r="C31" s="4">
        <v>5</v>
      </c>
      <c r="D31" s="4">
        <v>1</v>
      </c>
    </row>
    <row r="32" spans="2:12">
      <c r="B32" s="17" t="s">
        <v>26</v>
      </c>
      <c r="C32" s="9"/>
      <c r="D32" s="4"/>
    </row>
    <row r="33" spans="2:5">
      <c r="B33" s="17" t="s">
        <v>26</v>
      </c>
      <c r="C33" s="9"/>
      <c r="D33" s="4"/>
    </row>
    <row r="34" spans="2:5">
      <c r="B34" s="17" t="s">
        <v>26</v>
      </c>
      <c r="C34" s="9"/>
      <c r="D34" s="4"/>
    </row>
    <row r="35" spans="2:5">
      <c r="B35" s="12" t="s">
        <v>19</v>
      </c>
      <c r="C35" s="28">
        <f>1/0.04</f>
        <v>25</v>
      </c>
      <c r="D35" s="28"/>
    </row>
    <row r="36" spans="2:5">
      <c r="B36" s="12" t="s">
        <v>12</v>
      </c>
      <c r="C36" s="28">
        <f>1/0.13</f>
        <v>7.6923076923076916</v>
      </c>
      <c r="D36" s="28"/>
    </row>
    <row r="37" spans="2:5">
      <c r="B37" s="12" t="s">
        <v>10</v>
      </c>
      <c r="C37" s="29">
        <f>(G10-C14)/1/(PI()*(C12/2)^2*C35)+C31/100/(D31*PI()*(C12/2)^2)+IF(D32=0,0,(C32/100/D32*PI()*(C12/2)^2))+IF(D33=0,0,C33/100/(D33*PI()*(C12/2)^2))+IF(D34=0,0,(C34/100/D34*PI()*(C12)^2))+1/(PI()*(C12/2)^2*C36)/1000</f>
        <v>2.2537995153220535E-2</v>
      </c>
      <c r="D37" s="29"/>
      <c r="E37" t="s">
        <v>43</v>
      </c>
    </row>
    <row r="38" spans="2:5">
      <c r="B38" s="12" t="s">
        <v>16</v>
      </c>
      <c r="C38" s="29">
        <f>(G10-C15)/1/(PI()*(C12/2)^2*C35)+C31/100/(D31*PI()*(C12/2)^2)+IF(D32=0,0,(C32/100/D32*PI()*(C12/2)^2))+IF(D33=0,0,C33/100/(D33*PI()*(C12/2)^2))+IF(D34=0,0,(C34/100/D34*PI()*(C12)^2))+1/(PI()*(C12/2)^2*C36)*8.76/1000</f>
        <v>1.3892810689548717E-2</v>
      </c>
      <c r="D38" s="29"/>
      <c r="E38"/>
    </row>
    <row r="40" spans="2:5" ht="15.75">
      <c r="B40" s="15" t="s">
        <v>11</v>
      </c>
      <c r="C40" s="12" t="s">
        <v>9</v>
      </c>
      <c r="D40" s="12" t="s">
        <v>15</v>
      </c>
    </row>
    <row r="41" spans="2:5">
      <c r="B41" s="17" t="s">
        <v>26</v>
      </c>
      <c r="C41" s="4">
        <v>10</v>
      </c>
      <c r="D41" s="4">
        <v>2</v>
      </c>
    </row>
    <row r="42" spans="2:5">
      <c r="B42" s="17" t="s">
        <v>26</v>
      </c>
      <c r="C42" s="9"/>
      <c r="D42" s="4"/>
    </row>
    <row r="43" spans="2:5">
      <c r="B43" s="17" t="s">
        <v>26</v>
      </c>
      <c r="C43" s="9"/>
      <c r="D43" s="4"/>
    </row>
    <row r="44" spans="2:5">
      <c r="B44" s="17" t="s">
        <v>26</v>
      </c>
      <c r="C44" s="9"/>
      <c r="D44" s="4"/>
    </row>
    <row r="45" spans="2:5">
      <c r="B45" s="12" t="s">
        <v>19</v>
      </c>
      <c r="C45" s="28">
        <f>C25</f>
        <v>99999999</v>
      </c>
      <c r="D45" s="28"/>
    </row>
    <row r="46" spans="2:5">
      <c r="B46" s="12" t="s">
        <v>18</v>
      </c>
      <c r="C46" s="30">
        <v>99999999999</v>
      </c>
      <c r="D46" s="30"/>
    </row>
    <row r="47" spans="2:5">
      <c r="B47" s="12" t="s">
        <v>10</v>
      </c>
      <c r="C47" s="29">
        <f>(G10-C16)/(1/(PI()*(C12/2)^2*C45)+C41/100/(D41*PI()*(C12/2)^2)+IF(D42=0,0,(C42/100/(D42*PI()*(C12/2)^2)))+IF(D43=0,0,C43/100/(D43*PI()*(C12/2)^2))+IF(D44=0,0,(C44/100/(D44*PI()*(C12/2)^2)))+1/(PI()*(C12/2)^2*C46))/1000</f>
        <v>40.840696320359825</v>
      </c>
      <c r="D47" s="29"/>
    </row>
    <row r="48" spans="2:5">
      <c r="B48" s="12" t="s">
        <v>16</v>
      </c>
      <c r="C48" s="29">
        <f>C47*(G10-C16)/(G10-C14)*8.76</f>
        <v>216.32272078895707</v>
      </c>
      <c r="D48" s="29"/>
    </row>
    <row r="49" spans="2:4">
      <c r="D49"/>
    </row>
    <row r="50" spans="2:4">
      <c r="B50" s="6" t="s">
        <v>20</v>
      </c>
      <c r="C50" s="19">
        <f>C47+C37+C27</f>
        <v>109.74952396176718</v>
      </c>
      <c r="D50"/>
    </row>
    <row r="51" spans="2:4">
      <c r="B51" s="6" t="s">
        <v>16</v>
      </c>
      <c r="C51" s="18">
        <f>C48+C38+C28</f>
        <v>581.20966778175921</v>
      </c>
      <c r="D51"/>
    </row>
    <row r="53" spans="2:4">
      <c r="B53" t="s">
        <v>29</v>
      </c>
    </row>
    <row r="54" spans="2:4">
      <c r="B54" t="s">
        <v>30</v>
      </c>
    </row>
    <row r="57" spans="2:4">
      <c r="B57" s="12" t="s">
        <v>39</v>
      </c>
      <c r="C57" s="21" t="str">
        <f>IF(D57=TRUE,"OUI","NON")</f>
        <v>NON</v>
      </c>
      <c r="D57" s="1" t="b">
        <v>0</v>
      </c>
    </row>
    <row r="58" spans="2:4">
      <c r="B58" s="25" t="s">
        <v>35</v>
      </c>
      <c r="C58" s="26"/>
    </row>
    <row r="59" spans="2:4">
      <c r="B59" s="6" t="s">
        <v>33</v>
      </c>
      <c r="C59" s="19">
        <f>G17+IF(C57="OUI",C50-G25,C50)</f>
        <v>259.53285729510048</v>
      </c>
    </row>
    <row r="60" spans="2:4">
      <c r="B60" s="6" t="s">
        <v>34</v>
      </c>
      <c r="C60" s="18">
        <f>G18+IF(C57="OUI",C51-G26,C51)</f>
        <v>1374.5736677817592</v>
      </c>
    </row>
  </sheetData>
  <mergeCells count="18">
    <mergeCell ref="B1:G2"/>
    <mergeCell ref="F16:G16"/>
    <mergeCell ref="B58:C58"/>
    <mergeCell ref="F20:G20"/>
    <mergeCell ref="F24:G24"/>
    <mergeCell ref="B3:L3"/>
    <mergeCell ref="C25:D25"/>
    <mergeCell ref="C26:D26"/>
    <mergeCell ref="C27:D27"/>
    <mergeCell ref="C28:D28"/>
    <mergeCell ref="C35:D35"/>
    <mergeCell ref="C36:D36"/>
    <mergeCell ref="C45:D45"/>
    <mergeCell ref="C46:D46"/>
    <mergeCell ref="C37:D37"/>
    <mergeCell ref="C38:D38"/>
    <mergeCell ref="C47:D47"/>
    <mergeCell ref="C48:D48"/>
  </mergeCells>
  <conditionalFormatting sqref="C59 C50">
    <cfRule type="cellIs" dxfId="2" priority="13" operator="lessThan">
      <formula>0</formula>
    </cfRule>
  </conditionalFormatting>
  <conditionalFormatting sqref="C60 C51">
    <cfRule type="cellIs" dxfId="1" priority="13" operator="lessThan">
      <formula>0.3</formula>
    </cfRule>
    <cfRule type="cellIs" dxfId="0" priority="14" operator="lessThan">
      <formula>0</formula>
    </cfRule>
  </conditionalFormatting>
  <pageMargins left="0.7" right="0.7" top="0.75" bottom="0.75" header="0.3" footer="0.3"/>
  <pageSetup paperSize="8"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8:A19"/>
  <sheetViews>
    <sheetView workbookViewId="0">
      <selection activeCell="A32" sqref="A32"/>
    </sheetView>
  </sheetViews>
  <sheetFormatPr baseColWidth="10" defaultRowHeight="15"/>
  <sheetData>
    <row r="18" spans="1:1">
      <c r="A18" t="s">
        <v>27</v>
      </c>
    </row>
    <row r="19" spans="1:1">
      <c r="A19" s="8" t="s">
        <v>5</v>
      </c>
    </row>
  </sheetData>
  <hyperlinks>
    <hyperlink ref="A19" r:id="rId1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F6" sqref="F6"/>
    </sheetView>
  </sheetViews>
  <sheetFormatPr baseColWidth="10" defaultRowHeight="15"/>
  <sheetData>
    <row r="1" spans="1:8" ht="15" customHeight="1">
      <c r="A1" s="31"/>
      <c r="B1" s="31"/>
      <c r="C1" s="31"/>
      <c r="D1" s="31"/>
      <c r="E1" s="31"/>
      <c r="F1" s="31"/>
      <c r="G1" s="31"/>
      <c r="H1" s="31"/>
    </row>
    <row r="2" spans="1:8" ht="15" customHeight="1">
      <c r="A2" s="31"/>
      <c r="B2" s="31"/>
      <c r="C2" s="31"/>
      <c r="D2" s="31"/>
      <c r="E2" s="31"/>
      <c r="F2" s="31"/>
      <c r="G2" s="31"/>
      <c r="H2" s="31"/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Région</vt:lpstr>
      <vt:lpstr>zone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Calculateur consommations digesteur</dc:title>
  <dc:creator>Nicolas ANGELI</dc:creator>
  <cp:lastModifiedBy>Nicolas ANGELI</cp:lastModifiedBy>
  <cp:lastPrinted>2012-07-31T09:03:29Z</cp:lastPrinted>
  <dcterms:created xsi:type="dcterms:W3CDTF">2012-01-24T13:37:06Z</dcterms:created>
  <dcterms:modified xsi:type="dcterms:W3CDTF">2012-07-31T09:05:40Z</dcterms:modified>
</cp:coreProperties>
</file>